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zegorz\OneDrive - BIURO EKSPERTYZ I ROZWOJU GOSPODARCZEGO SP. Z O.O\BERG\GRZEGORZ i RAFAŁ\INNE 2017\PGN Szprotawa\"/>
    </mc:Choice>
  </mc:AlternateContent>
  <xr:revisionPtr revIDLastSave="173" documentId="11_623615C9CF868BE0132DE42B527295EF6E857072" xr6:coauthVersionLast="32" xr6:coauthVersionMax="32" xr10:uidLastSave="{90A2B92F-A7AE-45E8-98D5-79EF8907BC46}"/>
  <bookViews>
    <workbookView xWindow="0" yWindow="0" windowWidth="23040" windowHeight="8808" tabRatio="913" firstSheet="3" activeTab="15" xr2:uid="{00000000-000D-0000-FFFF-FFFF00000000}"/>
  </bookViews>
  <sheets>
    <sheet name="Karta informacyjna" sheetId="13" r:id="rId1"/>
    <sheet name="Założenia 1 - Wyniki ankiet" sheetId="18" r:id="rId2"/>
    <sheet name="Założenia 2 - Dane wejściowe" sheetId="19" r:id="rId3"/>
    <sheet name="Prąd" sheetId="1" r:id="rId4"/>
    <sheet name="Gaz" sheetId="2" r:id="rId5"/>
    <sheet name="Tranzyt" sheetId="3" r:id="rId6"/>
    <sheet name="Ruch lokalny" sheetId="5" r:id="rId7"/>
    <sheet name="Oświetlenie" sheetId="6" r:id="rId8"/>
    <sheet name="Obiekty publiczne" sheetId="7" r:id="rId9"/>
    <sheet name="Paliwa opałowe" sheetId="9" r:id="rId10"/>
    <sheet name="Ciepło systemowe" sheetId="10" r:id="rId11"/>
    <sheet name="BILANS" sheetId="11" r:id="rId12"/>
    <sheet name="Dobowa emisja" sheetId="12" r:id="rId13"/>
    <sheet name="CELE" sheetId="16" r:id="rId14"/>
    <sheet name="Inwestycje i działania" sheetId="15" r:id="rId15"/>
    <sheet name="redukcja - wyliczenie" sheetId="17" r:id="rId16"/>
  </sheets>
  <definedNames>
    <definedName name="_xlnm._FilterDatabase" localSheetId="1" hidden="1">'Założenia 1 - Wyniki ankiet'!$A$5:$J$2038</definedName>
    <definedName name="_xlnm.Print_Area" localSheetId="11">BILANS!$A$1:$K$25</definedName>
    <definedName name="_xlnm.Print_Area" localSheetId="13">CELE!$A$1:$F$17</definedName>
    <definedName name="_xlnm.Print_Area" localSheetId="10">'Ciepło systemowe'!$A$1:$G$33</definedName>
    <definedName name="_xlnm.Print_Area" localSheetId="4">Gaz!$A$1:$G$27</definedName>
    <definedName name="_xlnm.Print_Area" localSheetId="8">'Obiekty publiczne'!$A$1:$I$69</definedName>
    <definedName name="_xlnm.Print_Area" localSheetId="7">Oświetlenie!$A$1:$N$36</definedName>
    <definedName name="_xlnm.Print_Area" localSheetId="9">'Paliwa opałowe'!$A$1:$I$29</definedName>
    <definedName name="_xlnm.Print_Area" localSheetId="3">Prąd!$A$1:$L$24</definedName>
    <definedName name="_xlnm.Print_Area" localSheetId="15">'redukcja - wyliczenie'!$A$2:$F$65</definedName>
    <definedName name="_xlnm.Print_Area" localSheetId="6">'Ruch lokalny'!$A$1:$N$55</definedName>
    <definedName name="_xlnm.Print_Area" localSheetId="5">Tranzyt!$A$1:$J$36</definedName>
    <definedName name="_xlnm.Print_Area" localSheetId="1">'Założenia 1 - Wyniki ankiet'!$A$1:$J$2046</definedName>
  </definedNames>
  <calcPr calcId="179017"/>
</workbook>
</file>

<file path=xl/calcChain.xml><?xml version="1.0" encoding="utf-8"?>
<calcChain xmlns="http://schemas.openxmlformats.org/spreadsheetml/2006/main">
  <c r="C56" i="15" l="1"/>
  <c r="J48" i="15" l="1"/>
  <c r="E12" i="10" l="1"/>
  <c r="D13" i="10"/>
  <c r="F13" i="10" s="1"/>
  <c r="E13" i="10"/>
  <c r="E14" i="10"/>
  <c r="E15" i="10"/>
  <c r="C13" i="17" l="1"/>
  <c r="H26" i="6" l="1"/>
  <c r="H27" i="6"/>
  <c r="H28" i="6"/>
  <c r="H29" i="6"/>
  <c r="E26" i="6"/>
  <c r="E27" i="6"/>
  <c r="E28" i="6"/>
  <c r="E29" i="6"/>
  <c r="D27" i="6"/>
  <c r="C27" i="6"/>
  <c r="B27" i="6"/>
  <c r="F27" i="6" s="1"/>
  <c r="G27" i="6" s="1"/>
  <c r="I27" i="6" s="1"/>
  <c r="H10" i="6"/>
  <c r="H11" i="6"/>
  <c r="H12" i="6"/>
  <c r="H13" i="6"/>
  <c r="E10" i="6"/>
  <c r="E11" i="6"/>
  <c r="E12" i="6"/>
  <c r="E13" i="6"/>
  <c r="D10" i="6"/>
  <c r="D26" i="6" s="1"/>
  <c r="D11" i="6"/>
  <c r="D12" i="6"/>
  <c r="D28" i="6" s="1"/>
  <c r="D13" i="6"/>
  <c r="D29" i="6" s="1"/>
  <c r="C10" i="6"/>
  <c r="C26" i="6" s="1"/>
  <c r="C11" i="6"/>
  <c r="C12" i="6"/>
  <c r="C28" i="6" s="1"/>
  <c r="C13" i="6"/>
  <c r="C29" i="6" s="1"/>
  <c r="B10" i="6"/>
  <c r="F10" i="6" s="1"/>
  <c r="G10" i="6" s="1"/>
  <c r="I10" i="6" s="1"/>
  <c r="B11" i="6"/>
  <c r="F11" i="6" s="1"/>
  <c r="G11" i="6" s="1"/>
  <c r="I11" i="6" s="1"/>
  <c r="B12" i="6"/>
  <c r="B28" i="6" s="1"/>
  <c r="F28" i="6" s="1"/>
  <c r="G28" i="6" s="1"/>
  <c r="I28" i="6" s="1"/>
  <c r="B13" i="6"/>
  <c r="B29" i="6" s="1"/>
  <c r="F29" i="6" s="1"/>
  <c r="G29" i="6" s="1"/>
  <c r="I29" i="6" s="1"/>
  <c r="D115" i="19"/>
  <c r="F13" i="6" l="1"/>
  <c r="G13" i="6" s="1"/>
  <c r="I13" i="6" s="1"/>
  <c r="F12" i="6"/>
  <c r="G12" i="6" s="1"/>
  <c r="I12" i="6" s="1"/>
  <c r="B26" i="6"/>
  <c r="F26" i="6" s="1"/>
  <c r="G26" i="6" s="1"/>
  <c r="I26" i="6" s="1"/>
  <c r="L2029" i="18"/>
  <c r="C172" i="15" l="1"/>
  <c r="F38" i="17" s="1"/>
  <c r="C171" i="15"/>
  <c r="F35" i="17" s="1"/>
  <c r="C43" i="17" l="1"/>
  <c r="C59" i="17" s="1"/>
  <c r="C42" i="17"/>
  <c r="C57" i="17" s="1"/>
  <c r="C41" i="17"/>
  <c r="C55" i="17" s="1"/>
  <c r="C39" i="17"/>
  <c r="C34" i="17"/>
  <c r="C32" i="17"/>
  <c r="C29" i="17"/>
  <c r="C26" i="17"/>
  <c r="C24" i="17"/>
  <c r="C22" i="17"/>
  <c r="C20" i="17"/>
  <c r="C18" i="17"/>
  <c r="C53" i="17" s="1"/>
  <c r="C15" i="17"/>
  <c r="C11" i="17"/>
  <c r="C9" i="17"/>
  <c r="C7" i="17"/>
  <c r="C179" i="15"/>
  <c r="D159" i="15" l="1"/>
  <c r="D32" i="17" s="1"/>
  <c r="C159" i="15"/>
  <c r="F32" i="17" s="1"/>
  <c r="E157" i="15"/>
  <c r="E159" i="15" s="1"/>
  <c r="E32" i="17" s="1"/>
  <c r="C129" i="15" l="1"/>
  <c r="F22" i="17" s="1"/>
  <c r="C117" i="15"/>
  <c r="F20" i="17" s="1"/>
  <c r="I117" i="15"/>
  <c r="E120" i="15" s="1"/>
  <c r="D71" i="15" l="1"/>
  <c r="H72" i="15"/>
  <c r="H73" i="15" s="1"/>
  <c r="H74" i="15" s="1"/>
  <c r="D72" i="15"/>
  <c r="E72" i="15" s="1"/>
  <c r="C66" i="15"/>
  <c r="F11" i="17" s="1"/>
  <c r="F64" i="15"/>
  <c r="F66" i="15" s="1"/>
  <c r="C58" i="15"/>
  <c r="F9" i="17" s="1"/>
  <c r="D46" i="15"/>
  <c r="K46" i="15"/>
  <c r="D47" i="15"/>
  <c r="K47" i="15"/>
  <c r="M47" i="15"/>
  <c r="C43" i="7"/>
  <c r="B46" i="15" s="1"/>
  <c r="D43" i="7"/>
  <c r="E43" i="7"/>
  <c r="C46" i="15" s="1"/>
  <c r="C44" i="7"/>
  <c r="B47" i="15" s="1"/>
  <c r="D44" i="7"/>
  <c r="E44" i="7"/>
  <c r="C47" i="15" s="1"/>
  <c r="G24" i="11"/>
  <c r="G23" i="11"/>
  <c r="K36" i="15"/>
  <c r="M36" i="15"/>
  <c r="K37" i="15"/>
  <c r="M37" i="15"/>
  <c r="K38" i="15"/>
  <c r="M38" i="15"/>
  <c r="K39" i="15"/>
  <c r="M39" i="15"/>
  <c r="K40" i="15"/>
  <c r="M40" i="15"/>
  <c r="K41" i="15"/>
  <c r="M41" i="15"/>
  <c r="K42" i="15"/>
  <c r="M42" i="15"/>
  <c r="K43" i="15"/>
  <c r="M43" i="15"/>
  <c r="K44" i="15"/>
  <c r="M44" i="15"/>
  <c r="K45" i="15"/>
  <c r="M45" i="15"/>
  <c r="C10" i="15"/>
  <c r="F38" i="7" l="1"/>
  <c r="D41" i="15" s="1"/>
  <c r="F27" i="7"/>
  <c r="D30" i="15" s="1"/>
  <c r="F30" i="15" s="1"/>
  <c r="F40" i="7"/>
  <c r="D43" i="15" s="1"/>
  <c r="F41" i="7"/>
  <c r="D44" i="15" s="1"/>
  <c r="F42" i="7"/>
  <c r="D45" i="15" s="1"/>
  <c r="F39" i="7"/>
  <c r="D42" i="15" s="1"/>
  <c r="F35" i="7"/>
  <c r="D38" i="15" s="1"/>
  <c r="F36" i="7"/>
  <c r="D39" i="15" s="1"/>
  <c r="F37" i="7"/>
  <c r="D40" i="15" s="1"/>
  <c r="F34" i="7"/>
  <c r="D37" i="15" s="1"/>
  <c r="F29" i="7"/>
  <c r="D32" i="15" s="1"/>
  <c r="F32" i="15" s="1"/>
  <c r="F22" i="7"/>
  <c r="D25" i="15" s="1"/>
  <c r="F25" i="15" s="1"/>
  <c r="F19" i="7"/>
  <c r="D22" i="15" s="1"/>
  <c r="F22" i="15" s="1"/>
  <c r="F10" i="7"/>
  <c r="D13" i="15" s="1"/>
  <c r="F13" i="15" s="1"/>
  <c r="F8" i="7"/>
  <c r="D11" i="15" s="1"/>
  <c r="F11" i="15" s="1"/>
  <c r="F7" i="7"/>
  <c r="D10" i="15" s="1"/>
  <c r="F10" i="15" s="1"/>
  <c r="D6" i="7"/>
  <c r="E6" i="7"/>
  <c r="C9" i="15" s="1"/>
  <c r="D7" i="7"/>
  <c r="D8" i="7"/>
  <c r="E8" i="7"/>
  <c r="C11" i="15" s="1"/>
  <c r="D9" i="7"/>
  <c r="E9" i="7"/>
  <c r="C12" i="15" s="1"/>
  <c r="D10" i="7"/>
  <c r="E10" i="7"/>
  <c r="C13" i="15" s="1"/>
  <c r="D11" i="7"/>
  <c r="E11" i="7"/>
  <c r="C14" i="15" s="1"/>
  <c r="D12" i="7"/>
  <c r="E12" i="7"/>
  <c r="C15" i="15" s="1"/>
  <c r="D13" i="7"/>
  <c r="E13" i="7"/>
  <c r="C16" i="15" s="1"/>
  <c r="D14" i="7"/>
  <c r="E14" i="7"/>
  <c r="C17" i="15" s="1"/>
  <c r="D15" i="7"/>
  <c r="E15" i="7"/>
  <c r="C18" i="15" s="1"/>
  <c r="D16" i="7"/>
  <c r="E16" i="7"/>
  <c r="C19" i="15" s="1"/>
  <c r="D17" i="7"/>
  <c r="E17" i="7"/>
  <c r="C20" i="15" s="1"/>
  <c r="D18" i="7"/>
  <c r="E18" i="7"/>
  <c r="C21" i="15" s="1"/>
  <c r="D19" i="7"/>
  <c r="E19" i="7"/>
  <c r="C22" i="15" s="1"/>
  <c r="D20" i="7"/>
  <c r="E20" i="7"/>
  <c r="C23" i="15" s="1"/>
  <c r="D21" i="7"/>
  <c r="E21" i="7"/>
  <c r="C24" i="15" s="1"/>
  <c r="D22" i="7"/>
  <c r="E22" i="7"/>
  <c r="C25" i="15" s="1"/>
  <c r="D23" i="7"/>
  <c r="E23" i="7"/>
  <c r="C26" i="15" s="1"/>
  <c r="D24" i="7"/>
  <c r="E24" i="7"/>
  <c r="C27" i="15" s="1"/>
  <c r="D25" i="7"/>
  <c r="E25" i="7"/>
  <c r="C28" i="15" s="1"/>
  <c r="D26" i="7"/>
  <c r="E26" i="7"/>
  <c r="C29" i="15" s="1"/>
  <c r="D27" i="7"/>
  <c r="E27" i="7"/>
  <c r="C30" i="15" s="1"/>
  <c r="D28" i="7"/>
  <c r="E28" i="7"/>
  <c r="C31" i="15" s="1"/>
  <c r="D29" i="7"/>
  <c r="E29" i="7"/>
  <c r="C32" i="15" s="1"/>
  <c r="D30" i="7"/>
  <c r="E30" i="7"/>
  <c r="C33" i="15" s="1"/>
  <c r="D31" i="7"/>
  <c r="E31" i="7"/>
  <c r="C34" i="15" s="1"/>
  <c r="D32" i="7"/>
  <c r="E32" i="7"/>
  <c r="C35" i="15" s="1"/>
  <c r="D33" i="7"/>
  <c r="E33" i="7"/>
  <c r="C36" i="15" s="1"/>
  <c r="D34" i="7"/>
  <c r="E34" i="7"/>
  <c r="C37" i="15" s="1"/>
  <c r="D35" i="7"/>
  <c r="E35" i="7"/>
  <c r="C38" i="15" s="1"/>
  <c r="D36" i="7"/>
  <c r="E36" i="7"/>
  <c r="C39" i="15" s="1"/>
  <c r="D37" i="7"/>
  <c r="E37" i="7"/>
  <c r="C40" i="15" s="1"/>
  <c r="D38" i="7"/>
  <c r="E38" i="7"/>
  <c r="C41" i="15" s="1"/>
  <c r="D39" i="7"/>
  <c r="E39" i="7"/>
  <c r="C42" i="15" s="1"/>
  <c r="D40" i="7"/>
  <c r="E40" i="7"/>
  <c r="C43" i="15" s="1"/>
  <c r="D41" i="7"/>
  <c r="E41" i="7"/>
  <c r="C44" i="15" s="1"/>
  <c r="D42" i="7"/>
  <c r="E42" i="7"/>
  <c r="C45" i="15" s="1"/>
  <c r="D5" i="7"/>
  <c r="E5" i="7"/>
  <c r="C8" i="15" s="1"/>
  <c r="C41" i="7"/>
  <c r="B44" i="15" s="1"/>
  <c r="C42" i="7"/>
  <c r="B45" i="15" s="1"/>
  <c r="C6" i="7"/>
  <c r="B9" i="15" s="1"/>
  <c r="C7" i="7"/>
  <c r="B10" i="15" s="1"/>
  <c r="C8" i="7"/>
  <c r="B11" i="15" s="1"/>
  <c r="C9" i="7"/>
  <c r="B12" i="15" s="1"/>
  <c r="C10" i="7"/>
  <c r="B13" i="15" s="1"/>
  <c r="C11" i="7"/>
  <c r="B14" i="15" s="1"/>
  <c r="C12" i="7"/>
  <c r="B15" i="15" s="1"/>
  <c r="C13" i="7"/>
  <c r="B16" i="15" s="1"/>
  <c r="C14" i="7"/>
  <c r="B17" i="15" s="1"/>
  <c r="C15" i="7"/>
  <c r="B18" i="15" s="1"/>
  <c r="C16" i="7"/>
  <c r="B19" i="15" s="1"/>
  <c r="C17" i="7"/>
  <c r="B20" i="15" s="1"/>
  <c r="C18" i="7"/>
  <c r="B21" i="15" s="1"/>
  <c r="C19" i="7"/>
  <c r="B22" i="15" s="1"/>
  <c r="C20" i="7"/>
  <c r="B23" i="15" s="1"/>
  <c r="C21" i="7"/>
  <c r="B24" i="15" s="1"/>
  <c r="C22" i="7"/>
  <c r="B25" i="15" s="1"/>
  <c r="C23" i="7"/>
  <c r="B26" i="15" s="1"/>
  <c r="C24" i="7"/>
  <c r="B27" i="15" s="1"/>
  <c r="C25" i="7"/>
  <c r="B28" i="15" s="1"/>
  <c r="C26" i="7"/>
  <c r="B29" i="15" s="1"/>
  <c r="C27" i="7"/>
  <c r="B30" i="15" s="1"/>
  <c r="C28" i="7"/>
  <c r="B31" i="15" s="1"/>
  <c r="C29" i="7"/>
  <c r="B32" i="15" s="1"/>
  <c r="C30" i="7"/>
  <c r="B33" i="15" s="1"/>
  <c r="C31" i="7"/>
  <c r="B34" i="15" s="1"/>
  <c r="C32" i="7"/>
  <c r="B35" i="15" s="1"/>
  <c r="C33" i="7"/>
  <c r="B36" i="15" s="1"/>
  <c r="C34" i="7"/>
  <c r="B37" i="15" s="1"/>
  <c r="C35" i="7"/>
  <c r="B38" i="15" s="1"/>
  <c r="C36" i="7"/>
  <c r="B39" i="15" s="1"/>
  <c r="C37" i="7"/>
  <c r="B40" i="15" s="1"/>
  <c r="C38" i="7"/>
  <c r="B41" i="15" s="1"/>
  <c r="C39" i="7"/>
  <c r="B42" i="15" s="1"/>
  <c r="C40" i="7"/>
  <c r="B43" i="15" s="1"/>
  <c r="C5" i="7"/>
  <c r="B8" i="15" s="1"/>
  <c r="C199" i="19"/>
  <c r="D14" i="10" s="1"/>
  <c r="F14" i="10" s="1"/>
  <c r="J7" i="10"/>
  <c r="K7" i="10"/>
  <c r="D165" i="19"/>
  <c r="M79" i="19"/>
  <c r="I64" i="19"/>
  <c r="H64" i="19"/>
  <c r="G568" i="18"/>
  <c r="G569" i="18" s="1"/>
  <c r="D45" i="7" l="1"/>
  <c r="F75" i="15" s="1"/>
  <c r="F26" i="7"/>
  <c r="D29" i="15" s="1"/>
  <c r="F29" i="15" s="1"/>
  <c r="F21" i="7"/>
  <c r="D24" i="15" s="1"/>
  <c r="F24" i="15" s="1"/>
  <c r="F6" i="7"/>
  <c r="D9" i="15" s="1"/>
  <c r="F9" i="15" s="1"/>
  <c r="F16" i="7"/>
  <c r="D19" i="15" s="1"/>
  <c r="F19" i="15" s="1"/>
  <c r="F32" i="7"/>
  <c r="D35" i="15" s="1"/>
  <c r="F35" i="15" s="1"/>
  <c r="F12" i="7"/>
  <c r="D15" i="15" s="1"/>
  <c r="F15" i="15" s="1"/>
  <c r="B65" i="7"/>
  <c r="F5" i="7"/>
  <c r="F31" i="7"/>
  <c r="D34" i="15" s="1"/>
  <c r="F34" i="15" s="1"/>
  <c r="F25" i="7"/>
  <c r="D28" i="15" s="1"/>
  <c r="F28" i="15" s="1"/>
  <c r="F20" i="7"/>
  <c r="D23" i="15" s="1"/>
  <c r="F23" i="15" s="1"/>
  <c r="F15" i="7"/>
  <c r="D18" i="15" s="1"/>
  <c r="F18" i="15" s="1"/>
  <c r="F11" i="7"/>
  <c r="D14" i="15" s="1"/>
  <c r="F14" i="15" s="1"/>
  <c r="G40" i="15"/>
  <c r="F40" i="15"/>
  <c r="G45" i="15"/>
  <c r="F45" i="15"/>
  <c r="B61" i="7"/>
  <c r="F9" i="7"/>
  <c r="D12" i="15" s="1"/>
  <c r="F12" i="15" s="1"/>
  <c r="F30" i="7"/>
  <c r="D33" i="15" s="1"/>
  <c r="F33" i="15" s="1"/>
  <c r="F24" i="7"/>
  <c r="D27" i="15" s="1"/>
  <c r="F27" i="15" s="1"/>
  <c r="F18" i="7"/>
  <c r="D21" i="15" s="1"/>
  <c r="F21" i="15" s="1"/>
  <c r="F14" i="7"/>
  <c r="D17" i="15" s="1"/>
  <c r="F17" i="15" s="1"/>
  <c r="G39" i="15"/>
  <c r="F39" i="15"/>
  <c r="G44" i="15"/>
  <c r="F44" i="15"/>
  <c r="F37" i="15"/>
  <c r="G37" i="15"/>
  <c r="F42" i="15"/>
  <c r="G42" i="15"/>
  <c r="F33" i="7"/>
  <c r="D36" i="15" s="1"/>
  <c r="F28" i="7"/>
  <c r="D31" i="15" s="1"/>
  <c r="F31" i="15" s="1"/>
  <c r="F23" i="7"/>
  <c r="D26" i="15" s="1"/>
  <c r="F26" i="15" s="1"/>
  <c r="F17" i="7"/>
  <c r="D20" i="15" s="1"/>
  <c r="F20" i="15" s="1"/>
  <c r="F13" i="7"/>
  <c r="D16" i="15" s="1"/>
  <c r="F16" i="15" s="1"/>
  <c r="F38" i="15"/>
  <c r="G38" i="15"/>
  <c r="G43" i="15"/>
  <c r="F43" i="15"/>
  <c r="F41" i="15"/>
  <c r="G41" i="15"/>
  <c r="C2041" i="18"/>
  <c r="I1387" i="18"/>
  <c r="I1370" i="18"/>
  <c r="I1371" i="18" s="1"/>
  <c r="G1540" i="18"/>
  <c r="G1642" i="18"/>
  <c r="G1681" i="18"/>
  <c r="G870" i="18"/>
  <c r="G871" i="18" s="1"/>
  <c r="G872" i="18" s="1"/>
  <c r="G873" i="18" s="1"/>
  <c r="G874" i="18" s="1"/>
  <c r="G875" i="18" s="1"/>
  <c r="G578" i="18"/>
  <c r="G467" i="18"/>
  <c r="G351" i="18"/>
  <c r="G48" i="18"/>
  <c r="G606" i="18"/>
  <c r="G603" i="18" s="1"/>
  <c r="G669" i="18"/>
  <c r="G1801" i="18"/>
  <c r="G1800" i="18" s="1"/>
  <c r="G1774" i="18"/>
  <c r="G1773" i="18" s="1"/>
  <c r="G1747" i="18"/>
  <c r="G1746" i="18" s="1"/>
  <c r="G1707" i="18"/>
  <c r="G1670" i="18"/>
  <c r="G1669" i="18" s="1"/>
  <c r="G607" i="18" l="1"/>
  <c r="G604" i="18" s="1"/>
  <c r="G601" i="18" s="1"/>
  <c r="D15" i="10"/>
  <c r="F45" i="7"/>
  <c r="G36" i="15"/>
  <c r="F36" i="15"/>
  <c r="D8" i="15"/>
  <c r="B57" i="7"/>
  <c r="G352" i="18"/>
  <c r="G353" i="18" s="1"/>
  <c r="G670" i="18"/>
  <c r="G671" i="18" s="1"/>
  <c r="G1706" i="18"/>
  <c r="G876" i="18"/>
  <c r="G883" i="18"/>
  <c r="I1372" i="18"/>
  <c r="I1380" i="18"/>
  <c r="G598" i="18"/>
  <c r="G600" i="18"/>
  <c r="G579" i="18"/>
  <c r="G49" i="18"/>
  <c r="G672" i="18"/>
  <c r="C1533" i="18"/>
  <c r="C1534" i="18"/>
  <c r="C1535" i="18"/>
  <c r="C1536" i="18"/>
  <c r="C1537" i="18"/>
  <c r="C1538" i="18"/>
  <c r="C1539" i="18"/>
  <c r="C1540" i="18"/>
  <c r="C1541" i="18"/>
  <c r="C1542" i="18"/>
  <c r="C1532" i="18"/>
  <c r="D188" i="18"/>
  <c r="G629" i="18"/>
  <c r="G141" i="18"/>
  <c r="G142" i="18"/>
  <c r="G111" i="18"/>
  <c r="G112" i="18"/>
  <c r="G110" i="18"/>
  <c r="D22" i="10" l="1"/>
  <c r="G354" i="18"/>
  <c r="G355" i="18" s="1"/>
  <c r="G114" i="18"/>
  <c r="G113" i="18"/>
  <c r="G595" i="18"/>
  <c r="G877" i="18"/>
  <c r="G884" i="18"/>
  <c r="G597" i="18"/>
  <c r="G115" i="18"/>
  <c r="G630" i="18"/>
  <c r="I1373" i="18"/>
  <c r="I1381" i="18"/>
  <c r="G50" i="18"/>
  <c r="G580" i="18"/>
  <c r="G673" i="18"/>
  <c r="G594" i="18" l="1"/>
  <c r="G878" i="18"/>
  <c r="I1374" i="18"/>
  <c r="I1382" i="18"/>
  <c r="I1385" i="18" s="1"/>
  <c r="G592" i="18"/>
  <c r="G631" i="18"/>
  <c r="G356" i="18"/>
  <c r="G118" i="18"/>
  <c r="G116" i="18"/>
  <c r="G581" i="18"/>
  <c r="G59" i="18"/>
  <c r="G674" i="18"/>
  <c r="I19" i="11"/>
  <c r="H15" i="11"/>
  <c r="G121" i="18" l="1"/>
  <c r="G632" i="18"/>
  <c r="G357" i="18"/>
  <c r="I1375" i="18"/>
  <c r="I1376" i="18" s="1"/>
  <c r="I1383" i="18"/>
  <c r="I1386" i="18" s="1"/>
  <c r="G591" i="18"/>
  <c r="G119" i="18"/>
  <c r="G879" i="18"/>
  <c r="G582" i="18"/>
  <c r="G91" i="18"/>
  <c r="G675" i="18"/>
  <c r="G633" i="18" l="1"/>
  <c r="G122" i="18"/>
  <c r="G880" i="18"/>
  <c r="G358" i="18"/>
  <c r="G124" i="18"/>
  <c r="G92" i="18"/>
  <c r="G583" i="18"/>
  <c r="G676" i="18"/>
  <c r="I48" i="15"/>
  <c r="F7" i="17" s="1"/>
  <c r="G359" i="18" l="1"/>
  <c r="G125" i="18"/>
  <c r="G127" i="18"/>
  <c r="G881" i="18"/>
  <c r="G634" i="18"/>
  <c r="G584" i="18"/>
  <c r="G93" i="18"/>
  <c r="G677" i="18"/>
  <c r="G128" i="18" l="1"/>
  <c r="G635" i="18"/>
  <c r="G130" i="18"/>
  <c r="G360" i="18"/>
  <c r="G94" i="18"/>
  <c r="G585" i="18"/>
  <c r="G678" i="18"/>
  <c r="G131" i="18" l="1"/>
  <c r="G361" i="18"/>
  <c r="G636" i="18"/>
  <c r="G610" i="18"/>
  <c r="G586" i="18"/>
  <c r="G134" i="18"/>
  <c r="G362" i="18" l="1"/>
  <c r="G637" i="18"/>
  <c r="G140" i="18"/>
  <c r="G135" i="18"/>
  <c r="G653" i="18"/>
  <c r="G611" i="18"/>
  <c r="G587" i="18"/>
  <c r="E9" i="6"/>
  <c r="M8" i="15"/>
  <c r="M9" i="15"/>
  <c r="G149" i="18" l="1"/>
  <c r="G638" i="18"/>
  <c r="G364" i="18"/>
  <c r="G612" i="18"/>
  <c r="G588" i="18"/>
  <c r="G654" i="18"/>
  <c r="G136" i="18"/>
  <c r="G24" i="3"/>
  <c r="G25" i="3" s="1"/>
  <c r="G26" i="3" s="1"/>
  <c r="G27" i="3" s="1"/>
  <c r="G28" i="3" s="1"/>
  <c r="G29" i="3" s="1"/>
  <c r="D25" i="3"/>
  <c r="D26" i="3"/>
  <c r="D28" i="3"/>
  <c r="D29" i="3"/>
  <c r="D24" i="3"/>
  <c r="D16" i="3"/>
  <c r="D17" i="3"/>
  <c r="D19" i="3"/>
  <c r="D20" i="3"/>
  <c r="D7" i="3"/>
  <c r="D8" i="3"/>
  <c r="D10" i="3"/>
  <c r="D11" i="3"/>
  <c r="C23" i="3"/>
  <c r="G639" i="18" l="1"/>
  <c r="G365" i="18"/>
  <c r="G150" i="18"/>
  <c r="G137" i="18"/>
  <c r="G143" i="18"/>
  <c r="G613" i="18"/>
  <c r="G589" i="18"/>
  <c r="G655" i="18"/>
  <c r="G151" i="18" l="1"/>
  <c r="G640" i="18"/>
  <c r="G138" i="18"/>
  <c r="G656" i="18"/>
  <c r="G144" i="18"/>
  <c r="B53" i="7"/>
  <c r="E184" i="19"/>
  <c r="D27" i="3"/>
  <c r="D18" i="3"/>
  <c r="E18" i="3" s="1"/>
  <c r="D9" i="3"/>
  <c r="F184" i="19" l="1"/>
  <c r="G184" i="19" s="1"/>
  <c r="H184" i="19" s="1"/>
  <c r="I184" i="19" s="1"/>
  <c r="G641" i="18"/>
  <c r="G152" i="18"/>
  <c r="G145" i="18"/>
  <c r="G657" i="18"/>
  <c r="G665" i="18"/>
  <c r="D117" i="15"/>
  <c r="D20" i="17" s="1"/>
  <c r="G153" i="18" l="1"/>
  <c r="G642" i="18"/>
  <c r="G707" i="18"/>
  <c r="G666" i="18"/>
  <c r="G146" i="18"/>
  <c r="G643" i="18" l="1"/>
  <c r="G154" i="18"/>
  <c r="G147" i="18"/>
  <c r="G667" i="18"/>
  <c r="G708" i="18"/>
  <c r="M35" i="15"/>
  <c r="K35" i="15"/>
  <c r="M34" i="15"/>
  <c r="K34" i="15"/>
  <c r="M33" i="15"/>
  <c r="K33" i="15"/>
  <c r="M32" i="15"/>
  <c r="K32" i="15"/>
  <c r="M31" i="15"/>
  <c r="K31" i="15"/>
  <c r="M30" i="15"/>
  <c r="K30" i="15"/>
  <c r="M29" i="15"/>
  <c r="K29" i="15"/>
  <c r="M28" i="15"/>
  <c r="K28" i="15"/>
  <c r="M27" i="15"/>
  <c r="K27" i="15"/>
  <c r="M26" i="15"/>
  <c r="K26" i="15"/>
  <c r="M25" i="15"/>
  <c r="K25" i="15"/>
  <c r="K24" i="15"/>
  <c r="M23" i="15"/>
  <c r="K23" i="15"/>
  <c r="M22" i="15"/>
  <c r="K22" i="15"/>
  <c r="M21" i="15"/>
  <c r="K21" i="15"/>
  <c r="M20" i="15"/>
  <c r="K20" i="15"/>
  <c r="M19" i="15"/>
  <c r="K19" i="15"/>
  <c r="M18" i="15"/>
  <c r="K18" i="15"/>
  <c r="M17" i="15"/>
  <c r="K17" i="15"/>
  <c r="M16" i="15"/>
  <c r="K16" i="15"/>
  <c r="M15" i="15"/>
  <c r="K15" i="15"/>
  <c r="M14" i="15"/>
  <c r="K14" i="15"/>
  <c r="M13" i="15"/>
  <c r="K13" i="15"/>
  <c r="M12" i="15"/>
  <c r="K12" i="15"/>
  <c r="M11" i="15"/>
  <c r="K11" i="15"/>
  <c r="M10" i="15"/>
  <c r="M48" i="15" s="1"/>
  <c r="K10" i="15"/>
  <c r="K9" i="15"/>
  <c r="K8" i="15"/>
  <c r="K48" i="15" l="1"/>
  <c r="F18" i="17"/>
  <c r="E53" i="17" s="1"/>
  <c r="G155" i="18"/>
  <c r="G644" i="18"/>
  <c r="G148" i="18"/>
  <c r="G709" i="18"/>
  <c r="D18" i="17"/>
  <c r="B36" i="3"/>
  <c r="C14" i="3"/>
  <c r="C5" i="3"/>
  <c r="D53" i="17" l="1"/>
  <c r="G645" i="18"/>
  <c r="G156" i="18"/>
  <c r="G712" i="18"/>
  <c r="G710" i="18"/>
  <c r="G188" i="18"/>
  <c r="G157" i="18" l="1"/>
  <c r="G646" i="18"/>
  <c r="G189" i="18"/>
  <c r="G9" i="15"/>
  <c r="G17" i="15"/>
  <c r="G25" i="15"/>
  <c r="G33" i="15"/>
  <c r="G10" i="15"/>
  <c r="G26" i="15"/>
  <c r="G30" i="15"/>
  <c r="G11" i="15"/>
  <c r="G15" i="15"/>
  <c r="G19" i="15"/>
  <c r="G23" i="15"/>
  <c r="G27" i="15"/>
  <c r="G31" i="15"/>
  <c r="G35" i="15"/>
  <c r="G13" i="15"/>
  <c r="G21" i="15"/>
  <c r="G29" i="15"/>
  <c r="G14" i="15"/>
  <c r="G22" i="15"/>
  <c r="G34" i="15"/>
  <c r="F8" i="15"/>
  <c r="G8" i="15"/>
  <c r="G12" i="15"/>
  <c r="G16" i="15"/>
  <c r="G20" i="15"/>
  <c r="G24" i="15"/>
  <c r="G28" i="15"/>
  <c r="G32" i="15"/>
  <c r="G647" i="18" l="1"/>
  <c r="G158" i="18"/>
  <c r="F48" i="15"/>
  <c r="F49" i="15" s="1"/>
  <c r="G18" i="15"/>
  <c r="D48" i="15"/>
  <c r="D49" i="15" s="1"/>
  <c r="I26" i="19"/>
  <c r="I25" i="19"/>
  <c r="I24" i="19"/>
  <c r="G48" i="15" l="1"/>
  <c r="G159" i="18"/>
  <c r="G161" i="18"/>
  <c r="G648" i="18"/>
  <c r="G649" i="18" l="1"/>
  <c r="G650" i="18" l="1"/>
  <c r="D75" i="15"/>
  <c r="D13" i="17" s="1"/>
  <c r="D66" i="15" l="1"/>
  <c r="G75" i="15"/>
  <c r="G651" i="18"/>
  <c r="E164" i="15"/>
  <c r="E66" i="15" l="1"/>
  <c r="G652" i="18"/>
  <c r="C181" i="15"/>
  <c r="F39" i="17" s="1"/>
  <c r="H28" i="9" l="1"/>
  <c r="H27" i="9"/>
  <c r="H26" i="9"/>
  <c r="H25" i="9"/>
  <c r="H24" i="9"/>
  <c r="C8" i="12"/>
  <c r="E20" i="10"/>
  <c r="E21" i="10"/>
  <c r="E22" i="10"/>
  <c r="E19" i="10"/>
  <c r="H20" i="9" l="1"/>
  <c r="H19" i="9"/>
  <c r="H18" i="9"/>
  <c r="H17" i="9"/>
  <c r="H16" i="9"/>
  <c r="C21" i="9"/>
  <c r="C19" i="9"/>
  <c r="C20" i="9"/>
  <c r="C69" i="7"/>
  <c r="C65" i="7"/>
  <c r="C61" i="7"/>
  <c r="C57" i="7"/>
  <c r="C53" i="7"/>
  <c r="H25" i="6"/>
  <c r="H9" i="6"/>
  <c r="E25" i="6"/>
  <c r="C9" i="6"/>
  <c r="C25" i="6" s="1"/>
  <c r="D9" i="6"/>
  <c r="D25" i="6" s="1"/>
  <c r="B9" i="6"/>
  <c r="G111" i="19"/>
  <c r="I111" i="19" s="1"/>
  <c r="B25" i="6" l="1"/>
  <c r="F25" i="6" s="1"/>
  <c r="F30" i="6" s="1"/>
  <c r="F9" i="6"/>
  <c r="F14" i="6" s="1"/>
  <c r="H111" i="19"/>
  <c r="C16" i="9"/>
  <c r="E25" i="3" l="1"/>
  <c r="E26" i="3"/>
  <c r="E28" i="3"/>
  <c r="E29" i="3"/>
  <c r="E16" i="3"/>
  <c r="E17" i="3"/>
  <c r="E19" i="3"/>
  <c r="E20" i="3"/>
  <c r="D15" i="3"/>
  <c r="E15" i="3" s="1"/>
  <c r="E7" i="3"/>
  <c r="E8" i="3"/>
  <c r="E10" i="3"/>
  <c r="E11" i="3"/>
  <c r="D6" i="3"/>
  <c r="E6" i="3" s="1"/>
  <c r="D48" i="5"/>
  <c r="D49" i="5"/>
  <c r="D50" i="5"/>
  <c r="D46" i="5"/>
  <c r="D47" i="5"/>
  <c r="D45" i="5"/>
  <c r="D43" i="5"/>
  <c r="D44" i="5"/>
  <c r="D42" i="5"/>
  <c r="D40" i="5"/>
  <c r="D41" i="5"/>
  <c r="D39" i="5"/>
  <c r="D34" i="5"/>
  <c r="D35" i="5"/>
  <c r="D36" i="5"/>
  <c r="D37" i="5"/>
  <c r="D38" i="5"/>
  <c r="D33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8" i="5"/>
  <c r="G33" i="5"/>
  <c r="H33" i="5"/>
  <c r="I33" i="5"/>
  <c r="J33" i="5"/>
  <c r="K33" i="5"/>
  <c r="H34" i="5"/>
  <c r="J34" i="5"/>
  <c r="K34" i="5"/>
  <c r="H35" i="5"/>
  <c r="I35" i="5"/>
  <c r="J35" i="5"/>
  <c r="K35" i="5"/>
  <c r="G36" i="5"/>
  <c r="H36" i="5"/>
  <c r="I36" i="5"/>
  <c r="J36" i="5"/>
  <c r="K36" i="5"/>
  <c r="G37" i="5"/>
  <c r="H37" i="5"/>
  <c r="I37" i="5"/>
  <c r="J37" i="5"/>
  <c r="K37" i="5"/>
  <c r="G38" i="5"/>
  <c r="H38" i="5"/>
  <c r="I38" i="5"/>
  <c r="J38" i="5"/>
  <c r="K38" i="5"/>
  <c r="G39" i="5"/>
  <c r="H39" i="5"/>
  <c r="I39" i="5"/>
  <c r="J39" i="5"/>
  <c r="K39" i="5"/>
  <c r="G40" i="5"/>
  <c r="H40" i="5"/>
  <c r="I40" i="5"/>
  <c r="J40" i="5"/>
  <c r="K40" i="5"/>
  <c r="G41" i="5"/>
  <c r="H41" i="5"/>
  <c r="I41" i="5"/>
  <c r="J41" i="5"/>
  <c r="K41" i="5"/>
  <c r="G42" i="5"/>
  <c r="H42" i="5"/>
  <c r="I42" i="5"/>
  <c r="J42" i="5"/>
  <c r="K42" i="5"/>
  <c r="G43" i="5"/>
  <c r="H43" i="5"/>
  <c r="I43" i="5"/>
  <c r="J43" i="5"/>
  <c r="K43" i="5"/>
  <c r="G44" i="5"/>
  <c r="H44" i="5"/>
  <c r="I44" i="5"/>
  <c r="J44" i="5"/>
  <c r="K44" i="5"/>
  <c r="G45" i="5"/>
  <c r="H45" i="5"/>
  <c r="I45" i="5"/>
  <c r="J45" i="5"/>
  <c r="K45" i="5"/>
  <c r="G46" i="5"/>
  <c r="H46" i="5"/>
  <c r="I46" i="5"/>
  <c r="J46" i="5"/>
  <c r="K46" i="5"/>
  <c r="G47" i="5"/>
  <c r="H47" i="5"/>
  <c r="I47" i="5"/>
  <c r="J47" i="5"/>
  <c r="K47" i="5"/>
  <c r="G48" i="5"/>
  <c r="H48" i="5"/>
  <c r="I48" i="5"/>
  <c r="J48" i="5"/>
  <c r="K48" i="5"/>
  <c r="G49" i="5"/>
  <c r="H49" i="5"/>
  <c r="I49" i="5"/>
  <c r="J49" i="5"/>
  <c r="K49" i="5"/>
  <c r="G50" i="5"/>
  <c r="H50" i="5"/>
  <c r="I50" i="5"/>
  <c r="J50" i="5"/>
  <c r="K50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33" i="5"/>
  <c r="G8" i="5"/>
  <c r="H8" i="5"/>
  <c r="I8" i="5"/>
  <c r="J8" i="5"/>
  <c r="K8" i="5"/>
  <c r="H9" i="5"/>
  <c r="J9" i="5"/>
  <c r="K9" i="5"/>
  <c r="H10" i="5"/>
  <c r="I10" i="5"/>
  <c r="J10" i="5"/>
  <c r="K10" i="5"/>
  <c r="G11" i="5"/>
  <c r="H11" i="5"/>
  <c r="I11" i="5"/>
  <c r="J11" i="5"/>
  <c r="K11" i="5"/>
  <c r="G12" i="5"/>
  <c r="H12" i="5"/>
  <c r="I12" i="5"/>
  <c r="J12" i="5"/>
  <c r="K12" i="5"/>
  <c r="G13" i="5"/>
  <c r="H13" i="5"/>
  <c r="I13" i="5"/>
  <c r="J13" i="5"/>
  <c r="K13" i="5"/>
  <c r="G14" i="5"/>
  <c r="H14" i="5"/>
  <c r="I14" i="5"/>
  <c r="J14" i="5"/>
  <c r="K14" i="5"/>
  <c r="G15" i="5"/>
  <c r="H15" i="5"/>
  <c r="I15" i="5"/>
  <c r="J15" i="5"/>
  <c r="K15" i="5"/>
  <c r="G16" i="5"/>
  <c r="H16" i="5"/>
  <c r="I16" i="5"/>
  <c r="J16" i="5"/>
  <c r="K16" i="5"/>
  <c r="G17" i="5"/>
  <c r="H17" i="5"/>
  <c r="I17" i="5"/>
  <c r="J17" i="5"/>
  <c r="K17" i="5"/>
  <c r="G18" i="5"/>
  <c r="H18" i="5"/>
  <c r="I18" i="5"/>
  <c r="J18" i="5"/>
  <c r="K18" i="5"/>
  <c r="G19" i="5"/>
  <c r="H19" i="5"/>
  <c r="I19" i="5"/>
  <c r="J19" i="5"/>
  <c r="K19" i="5"/>
  <c r="G20" i="5"/>
  <c r="H20" i="5"/>
  <c r="I20" i="5"/>
  <c r="J20" i="5"/>
  <c r="K20" i="5"/>
  <c r="G21" i="5"/>
  <c r="H21" i="5"/>
  <c r="I21" i="5"/>
  <c r="J21" i="5"/>
  <c r="K21" i="5"/>
  <c r="G22" i="5"/>
  <c r="H22" i="5"/>
  <c r="I22" i="5"/>
  <c r="J22" i="5"/>
  <c r="K22" i="5"/>
  <c r="G23" i="5"/>
  <c r="H23" i="5"/>
  <c r="I23" i="5"/>
  <c r="J23" i="5"/>
  <c r="K23" i="5"/>
  <c r="G24" i="5"/>
  <c r="H24" i="5"/>
  <c r="I24" i="5"/>
  <c r="J24" i="5"/>
  <c r="K24" i="5"/>
  <c r="G25" i="5"/>
  <c r="H25" i="5"/>
  <c r="I25" i="5"/>
  <c r="J25" i="5"/>
  <c r="K25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8" i="5"/>
  <c r="G80" i="19"/>
  <c r="I34" i="5" s="1"/>
  <c r="E80" i="19"/>
  <c r="G34" i="5" s="1"/>
  <c r="G16" i="3"/>
  <c r="G17" i="3"/>
  <c r="G18" i="3"/>
  <c r="G19" i="3"/>
  <c r="G20" i="3"/>
  <c r="G15" i="3"/>
  <c r="G7" i="3"/>
  <c r="G8" i="3"/>
  <c r="G9" i="3"/>
  <c r="G10" i="3"/>
  <c r="G11" i="3"/>
  <c r="G6" i="3"/>
  <c r="F25" i="3"/>
  <c r="F26" i="3"/>
  <c r="F27" i="3"/>
  <c r="F28" i="3"/>
  <c r="F29" i="3"/>
  <c r="F24" i="3"/>
  <c r="F16" i="3"/>
  <c r="F17" i="3"/>
  <c r="F18" i="3"/>
  <c r="F19" i="3"/>
  <c r="F20" i="3"/>
  <c r="F15" i="3"/>
  <c r="F7" i="3"/>
  <c r="F8" i="3"/>
  <c r="F9" i="3"/>
  <c r="F10" i="3"/>
  <c r="F11" i="3"/>
  <c r="F6" i="3"/>
  <c r="E18" i="2"/>
  <c r="E19" i="2"/>
  <c r="E20" i="2"/>
  <c r="E21" i="2"/>
  <c r="E17" i="2"/>
  <c r="D21" i="2"/>
  <c r="E8" i="2"/>
  <c r="E9" i="2"/>
  <c r="E10" i="2"/>
  <c r="E11" i="2"/>
  <c r="E7" i="2"/>
  <c r="J22" i="19"/>
  <c r="C18" i="1" s="1"/>
  <c r="J23" i="19"/>
  <c r="C17" i="1" s="1"/>
  <c r="J21" i="19"/>
  <c r="J26" i="19"/>
  <c r="J24" i="19"/>
  <c r="E43" i="19"/>
  <c r="E42" i="19"/>
  <c r="C8" i="2"/>
  <c r="D8" i="2" s="1"/>
  <c r="D179" i="15" s="1"/>
  <c r="C7" i="2"/>
  <c r="D7" i="2" s="1"/>
  <c r="C10" i="2"/>
  <c r="D10" i="2" s="1"/>
  <c r="C9" i="2"/>
  <c r="D9" i="2" s="1"/>
  <c r="E44" i="19"/>
  <c r="I8" i="1"/>
  <c r="J8" i="1" s="1"/>
  <c r="I7" i="1"/>
  <c r="J7" i="1" s="1"/>
  <c r="E179" i="15" l="1"/>
  <c r="E24" i="3"/>
  <c r="C36" i="3"/>
  <c r="C17" i="9"/>
  <c r="E8" i="12"/>
  <c r="D8" i="12"/>
  <c r="I9" i="1"/>
  <c r="E81" i="19"/>
  <c r="G35" i="5" s="1"/>
  <c r="C8" i="5"/>
  <c r="L33" i="5"/>
  <c r="D26" i="5"/>
  <c r="I9" i="5"/>
  <c r="C17" i="2"/>
  <c r="D17" i="2" s="1"/>
  <c r="G9" i="5"/>
  <c r="H6" i="3"/>
  <c r="D18" i="1"/>
  <c r="C20" i="2"/>
  <c r="D20" i="2" s="1"/>
  <c r="J25" i="19"/>
  <c r="C19" i="1" s="1"/>
  <c r="C18" i="2"/>
  <c r="D18" i="2" s="1"/>
  <c r="C19" i="2"/>
  <c r="D19" i="2" s="1"/>
  <c r="D20" i="1"/>
  <c r="D17" i="1"/>
  <c r="D16" i="1"/>
  <c r="AG11" i="19"/>
  <c r="AF11" i="19"/>
  <c r="AE11" i="19"/>
  <c r="AD11" i="19"/>
  <c r="AC11" i="19"/>
  <c r="AB11" i="19"/>
  <c r="AA11" i="19"/>
  <c r="Z11" i="19"/>
  <c r="Y11" i="19"/>
  <c r="X11" i="19"/>
  <c r="W11" i="19"/>
  <c r="V11" i="19"/>
  <c r="U11" i="19"/>
  <c r="T11" i="19"/>
  <c r="S11" i="19"/>
  <c r="R11" i="19"/>
  <c r="Q11" i="19"/>
  <c r="P11" i="19"/>
  <c r="O11" i="19"/>
  <c r="N11" i="19"/>
  <c r="M11" i="19"/>
  <c r="L11" i="19"/>
  <c r="K11" i="19"/>
  <c r="J11" i="19"/>
  <c r="I11" i="19"/>
  <c r="H11" i="19"/>
  <c r="G11" i="19"/>
  <c r="F11" i="19"/>
  <c r="E11" i="19"/>
  <c r="D11" i="19"/>
  <c r="C11" i="19"/>
  <c r="G10" i="5" l="1"/>
  <c r="J9" i="1"/>
  <c r="K7" i="1"/>
  <c r="K8" i="1"/>
  <c r="K9" i="1"/>
  <c r="K10" i="1"/>
  <c r="K6" i="1"/>
  <c r="E17" i="1"/>
  <c r="E18" i="1"/>
  <c r="E19" i="1"/>
  <c r="E20" i="1"/>
  <c r="E16" i="1"/>
  <c r="K8" i="2"/>
  <c r="J8" i="2"/>
  <c r="D19" i="1" l="1"/>
  <c r="G172" i="15"/>
  <c r="D172" i="15"/>
  <c r="E172" i="15" s="1"/>
  <c r="D38" i="17" s="1"/>
  <c r="E181" i="15"/>
  <c r="D39" i="17" s="1"/>
  <c r="D181" i="15"/>
  <c r="M8" i="1"/>
  <c r="L8" i="1"/>
  <c r="H172" i="15" l="1"/>
  <c r="I172" i="15"/>
  <c r="J172" i="15" s="1"/>
  <c r="E6" i="12"/>
  <c r="E13" i="12" s="1"/>
  <c r="E18" i="12" s="1"/>
  <c r="J6" i="11"/>
  <c r="E23" i="11"/>
  <c r="E16" i="11"/>
  <c r="D6" i="12"/>
  <c r="I6" i="11"/>
  <c r="D16" i="11"/>
  <c r="I14" i="3"/>
  <c r="I23" i="3" s="1"/>
  <c r="L10" i="5" l="1"/>
  <c r="L11" i="5"/>
  <c r="L12" i="5"/>
  <c r="L13" i="5"/>
  <c r="L14" i="5"/>
  <c r="L17" i="5"/>
  <c r="L19" i="5"/>
  <c r="L20" i="5"/>
  <c r="L21" i="5"/>
  <c r="L22" i="5"/>
  <c r="L23" i="5"/>
  <c r="L24" i="5"/>
  <c r="L25" i="5"/>
  <c r="L8" i="5"/>
  <c r="L26" i="5" l="1"/>
  <c r="D212" i="15" l="1"/>
  <c r="E212" i="15" s="1"/>
  <c r="G212" i="15" s="1"/>
  <c r="C208" i="15" s="1"/>
  <c r="C210" i="15" s="1"/>
  <c r="F43" i="17" s="1"/>
  <c r="D202" i="15"/>
  <c r="E202" i="15" s="1"/>
  <c r="D198" i="15" s="1"/>
  <c r="D200" i="15" s="1"/>
  <c r="D42" i="17" s="1"/>
  <c r="D57" i="17" s="1"/>
  <c r="D193" i="15"/>
  <c r="G193" i="15" s="1"/>
  <c r="C188" i="15" s="1"/>
  <c r="C190" i="15" s="1"/>
  <c r="F41" i="17" s="1"/>
  <c r="E55" i="17" s="1"/>
  <c r="C173" i="15"/>
  <c r="E166" i="15"/>
  <c r="E34" i="17" s="1"/>
  <c r="F166" i="15"/>
  <c r="D166" i="15"/>
  <c r="D34" i="17" s="1"/>
  <c r="C166" i="15"/>
  <c r="F34" i="17" s="1"/>
  <c r="F149" i="15"/>
  <c r="D149" i="15"/>
  <c r="F142" i="15"/>
  <c r="D142" i="15"/>
  <c r="D26" i="17" s="1"/>
  <c r="C142" i="15"/>
  <c r="F26" i="17" s="1"/>
  <c r="F136" i="15"/>
  <c r="D136" i="15"/>
  <c r="D24" i="17" s="1"/>
  <c r="C136" i="15"/>
  <c r="F24" i="17" s="1"/>
  <c r="F129" i="15"/>
  <c r="F89" i="15"/>
  <c r="C89" i="15"/>
  <c r="F15" i="17" s="1"/>
  <c r="D89" i="15"/>
  <c r="D15" i="17" s="1"/>
  <c r="C75" i="15"/>
  <c r="F13" i="17" s="1"/>
  <c r="D29" i="17" l="1"/>
  <c r="N11" i="17" s="1"/>
  <c r="E59" i="17"/>
  <c r="D11" i="17"/>
  <c r="D208" i="15"/>
  <c r="D210" i="15" s="1"/>
  <c r="D43" i="17" s="1"/>
  <c r="D59" i="17" s="1"/>
  <c r="E193" i="15"/>
  <c r="G202" i="15"/>
  <c r="C198" i="15" s="1"/>
  <c r="C200" i="15" s="1"/>
  <c r="F42" i="17" s="1"/>
  <c r="E57" i="17" s="1"/>
  <c r="F202" i="15"/>
  <c r="E198" i="15" s="1"/>
  <c r="E200" i="15" s="1"/>
  <c r="E42" i="17" s="1"/>
  <c r="F212" i="15"/>
  <c r="E208" i="15" s="1"/>
  <c r="E210" i="15" s="1"/>
  <c r="E43" i="17" s="1"/>
  <c r="D129" i="15"/>
  <c r="D22" i="17" s="1"/>
  <c r="E5" i="15"/>
  <c r="H46" i="15" s="1"/>
  <c r="E4" i="15"/>
  <c r="E3" i="15"/>
  <c r="E2" i="15"/>
  <c r="E1" i="15"/>
  <c r="N10" i="17" l="1"/>
  <c r="N4" i="17"/>
  <c r="E60" i="17"/>
  <c r="H30" i="15"/>
  <c r="L47" i="15"/>
  <c r="L46" i="15"/>
  <c r="L38" i="15"/>
  <c r="L42" i="15"/>
  <c r="L45" i="15"/>
  <c r="L44" i="15"/>
  <c r="L40" i="15"/>
  <c r="L41" i="15"/>
  <c r="L37" i="15"/>
  <c r="L43" i="15"/>
  <c r="L39" i="15"/>
  <c r="L36" i="15"/>
  <c r="H36" i="15"/>
  <c r="H35" i="15"/>
  <c r="H29" i="15"/>
  <c r="H19" i="15"/>
  <c r="H15" i="15"/>
  <c r="H16" i="15"/>
  <c r="H28" i="15"/>
  <c r="H17" i="15"/>
  <c r="H21" i="15"/>
  <c r="H24" i="15"/>
  <c r="H14" i="15"/>
  <c r="H20" i="15"/>
  <c r="H34" i="15"/>
  <c r="H27" i="15"/>
  <c r="H23" i="15"/>
  <c r="H26" i="15"/>
  <c r="H18" i="15"/>
  <c r="H42" i="15"/>
  <c r="H40" i="15"/>
  <c r="H41" i="15"/>
  <c r="H39" i="15"/>
  <c r="H38" i="15"/>
  <c r="H37" i="15"/>
  <c r="H45" i="15"/>
  <c r="H43" i="15"/>
  <c r="H44" i="15"/>
  <c r="H32" i="15"/>
  <c r="H11" i="15"/>
  <c r="H25" i="15"/>
  <c r="H10" i="15"/>
  <c r="H22" i="15"/>
  <c r="H8" i="15"/>
  <c r="H12" i="15"/>
  <c r="H9" i="15"/>
  <c r="H13" i="15"/>
  <c r="L30" i="15"/>
  <c r="L28" i="15"/>
  <c r="L22" i="15"/>
  <c r="L20" i="15"/>
  <c r="L14" i="15"/>
  <c r="L26" i="15"/>
  <c r="L24" i="15"/>
  <c r="L18" i="15"/>
  <c r="L16" i="15"/>
  <c r="L10" i="15"/>
  <c r="L12" i="15"/>
  <c r="L17" i="15"/>
  <c r="L34" i="15"/>
  <c r="L27" i="15"/>
  <c r="L15" i="15"/>
  <c r="L31" i="15"/>
  <c r="L9" i="15"/>
  <c r="L19" i="15"/>
  <c r="L21" i="15"/>
  <c r="L8" i="15"/>
  <c r="L33" i="15"/>
  <c r="L11" i="15"/>
  <c r="L25" i="15"/>
  <c r="L23" i="15"/>
  <c r="L35" i="15"/>
  <c r="L32" i="15"/>
  <c r="L13" i="15"/>
  <c r="L29" i="15"/>
  <c r="H33" i="15"/>
  <c r="H31" i="15"/>
  <c r="F193" i="15"/>
  <c r="E188" i="15" s="1"/>
  <c r="E190" i="15" s="1"/>
  <c r="E41" i="17" s="1"/>
  <c r="D188" i="15"/>
  <c r="L48" i="15" l="1"/>
  <c r="E18" i="17"/>
  <c r="H48" i="15"/>
  <c r="E7" i="17" s="1"/>
  <c r="G49" i="15"/>
  <c r="D7" i="17" s="1"/>
  <c r="N13" i="17" s="1"/>
  <c r="D190" i="15"/>
  <c r="D41" i="17" s="1"/>
  <c r="D55" i="17" l="1"/>
  <c r="D60" i="17" s="1"/>
  <c r="N2" i="17"/>
  <c r="D27" i="5"/>
  <c r="D28" i="5"/>
  <c r="E27" i="3" l="1"/>
  <c r="D36" i="3" s="1"/>
  <c r="E9" i="3"/>
  <c r="H29" i="3" l="1"/>
  <c r="H28" i="3"/>
  <c r="H26" i="3"/>
  <c r="H25" i="3"/>
  <c r="H24" i="3"/>
  <c r="H20" i="3"/>
  <c r="H19" i="3"/>
  <c r="H17" i="3"/>
  <c r="H16" i="3"/>
  <c r="H15" i="3"/>
  <c r="I27" i="3"/>
  <c r="C35" i="3"/>
  <c r="I29" i="3"/>
  <c r="I28" i="3"/>
  <c r="I26" i="3"/>
  <c r="I25" i="3"/>
  <c r="I24" i="3"/>
  <c r="I20" i="3"/>
  <c r="I19" i="3"/>
  <c r="I18" i="3"/>
  <c r="I17" i="3"/>
  <c r="I16" i="3"/>
  <c r="I15" i="3"/>
  <c r="B35" i="3"/>
  <c r="K7" i="3" s="1"/>
  <c r="D35" i="3" l="1"/>
  <c r="H18" i="3"/>
  <c r="H21" i="3" s="1"/>
  <c r="L7" i="3" s="1"/>
  <c r="H27" i="3"/>
  <c r="H30" i="3" s="1"/>
  <c r="I30" i="3"/>
  <c r="I21" i="3"/>
  <c r="M7" i="3" s="1"/>
  <c r="M9" i="1" l="1"/>
  <c r="M11" i="1" s="1"/>
  <c r="F18" i="2"/>
  <c r="C23" i="9" l="1"/>
  <c r="D53" i="7"/>
  <c r="B34" i="3"/>
  <c r="K6" i="3" s="1"/>
  <c r="F10" i="2"/>
  <c r="F20" i="2"/>
  <c r="F19" i="2"/>
  <c r="F8" i="2"/>
  <c r="G21" i="9" l="1"/>
  <c r="G9" i="6"/>
  <c r="G14" i="6" s="1"/>
  <c r="F9" i="2"/>
  <c r="F179" i="15" s="1"/>
  <c r="C5" i="11"/>
  <c r="C15" i="11" s="1"/>
  <c r="D13" i="12"/>
  <c r="D18" i="12" s="1"/>
  <c r="C13" i="12"/>
  <c r="C18" i="12" s="1"/>
  <c r="C24" i="9"/>
  <c r="G29" i="9" s="1"/>
  <c r="D69" i="7"/>
  <c r="D65" i="7"/>
  <c r="D61" i="7"/>
  <c r="F15" i="10" s="1"/>
  <c r="D57" i="7"/>
  <c r="G171" i="15" l="1"/>
  <c r="H171" i="15" s="1"/>
  <c r="H173" i="15" s="1"/>
  <c r="D171" i="15"/>
  <c r="F181" i="15"/>
  <c r="I53" i="7"/>
  <c r="E71" i="15"/>
  <c r="C30" i="10"/>
  <c r="C24" i="6"/>
  <c r="E39" i="17" l="1"/>
  <c r="D22" i="11"/>
  <c r="C22" i="11"/>
  <c r="I9" i="6"/>
  <c r="I14" i="6" s="1"/>
  <c r="C34" i="3"/>
  <c r="I11" i="3"/>
  <c r="I6" i="3"/>
  <c r="H7" i="3"/>
  <c r="H8" i="3"/>
  <c r="H9" i="3"/>
  <c r="H10" i="3"/>
  <c r="H11" i="3"/>
  <c r="L49" i="5"/>
  <c r="L50" i="5"/>
  <c r="L48" i="5"/>
  <c r="L46" i="5"/>
  <c r="L47" i="5"/>
  <c r="L45" i="5"/>
  <c r="L44" i="5"/>
  <c r="L42" i="5"/>
  <c r="L39" i="5"/>
  <c r="L36" i="5"/>
  <c r="L35" i="5"/>
  <c r="L37" i="5"/>
  <c r="L38" i="5"/>
  <c r="C23" i="5"/>
  <c r="C20" i="5"/>
  <c r="L18" i="5"/>
  <c r="C17" i="5"/>
  <c r="L15" i="5"/>
  <c r="C14" i="5"/>
  <c r="D153" i="15" s="1"/>
  <c r="E153" i="15" s="1"/>
  <c r="C11" i="5"/>
  <c r="C147" i="15" l="1"/>
  <c r="C149" i="15" s="1"/>
  <c r="F29" i="17" s="1"/>
  <c r="F44" i="17" s="1"/>
  <c r="L43" i="5"/>
  <c r="M42" i="5" s="1"/>
  <c r="L9" i="5"/>
  <c r="M8" i="5" s="1"/>
  <c r="L34" i="5"/>
  <c r="L41" i="5"/>
  <c r="L53" i="5" s="1"/>
  <c r="L40" i="5"/>
  <c r="L51" i="5"/>
  <c r="C33" i="5"/>
  <c r="D20" i="10"/>
  <c r="F20" i="10" s="1"/>
  <c r="D21" i="10"/>
  <c r="F21" i="10" s="1"/>
  <c r="M20" i="5"/>
  <c r="D52" i="5"/>
  <c r="C36" i="5"/>
  <c r="M36" i="5"/>
  <c r="H12" i="3"/>
  <c r="L6" i="3" s="1"/>
  <c r="F22" i="10"/>
  <c r="D30" i="10" s="1"/>
  <c r="C48" i="5"/>
  <c r="D53" i="5"/>
  <c r="C45" i="5"/>
  <c r="M45" i="5"/>
  <c r="C39" i="5"/>
  <c r="C42" i="5"/>
  <c r="M48" i="5"/>
  <c r="D51" i="5"/>
  <c r="M17" i="5"/>
  <c r="C26" i="5"/>
  <c r="M11" i="5"/>
  <c r="M23" i="5"/>
  <c r="I10" i="3"/>
  <c r="I9" i="3"/>
  <c r="I8" i="3"/>
  <c r="E117" i="15" l="1"/>
  <c r="E20" i="17" s="1"/>
  <c r="L9" i="3"/>
  <c r="L14" i="3" s="1"/>
  <c r="L27" i="5"/>
  <c r="L16" i="5"/>
  <c r="L28" i="5" s="1"/>
  <c r="M33" i="5"/>
  <c r="D34" i="3"/>
  <c r="I7" i="3"/>
  <c r="I12" i="3" s="1"/>
  <c r="M6" i="3" s="1"/>
  <c r="M9" i="3" s="1"/>
  <c r="G25" i="6"/>
  <c r="G30" i="6" s="1"/>
  <c r="C51" i="5"/>
  <c r="M39" i="5"/>
  <c r="L52" i="5"/>
  <c r="M13" i="3"/>
  <c r="L13" i="3"/>
  <c r="D14" i="3"/>
  <c r="D23" i="3" s="1"/>
  <c r="C12" i="2"/>
  <c r="K10" i="2" s="1"/>
  <c r="L6" i="1"/>
  <c r="L7" i="1"/>
  <c r="C18" i="11" s="1"/>
  <c r="I25" i="6" l="1"/>
  <c r="I30" i="6" s="1"/>
  <c r="M14" i="3"/>
  <c r="D20" i="11" s="1"/>
  <c r="I34" i="6"/>
  <c r="C21" i="11" s="1"/>
  <c r="E21" i="11" s="1"/>
  <c r="M14" i="5"/>
  <c r="C153" i="15" s="1"/>
  <c r="F20" i="1"/>
  <c r="M51" i="5"/>
  <c r="F16" i="1"/>
  <c r="F17" i="1"/>
  <c r="C20" i="11"/>
  <c r="D21" i="1"/>
  <c r="I17" i="11" s="1"/>
  <c r="F19" i="1"/>
  <c r="L9" i="1"/>
  <c r="F172" i="15" s="1"/>
  <c r="E38" i="17" s="1"/>
  <c r="D22" i="2"/>
  <c r="I18" i="11" s="1"/>
  <c r="F17" i="2"/>
  <c r="F22" i="2" s="1"/>
  <c r="C22" i="2"/>
  <c r="K11" i="2" s="1"/>
  <c r="D12" i="2"/>
  <c r="E13" i="16" s="1"/>
  <c r="D13" i="16" s="1"/>
  <c r="F7" i="2"/>
  <c r="J11" i="1"/>
  <c r="N48" i="15" l="1"/>
  <c r="D12" i="16"/>
  <c r="E7" i="16" s="1"/>
  <c r="D63" i="17" s="1"/>
  <c r="H18" i="11"/>
  <c r="J18" i="11" s="1"/>
  <c r="E127" i="15"/>
  <c r="H24" i="11"/>
  <c r="O48" i="15"/>
  <c r="H17" i="11"/>
  <c r="I20" i="11"/>
  <c r="I17" i="1"/>
  <c r="I22" i="1"/>
  <c r="E147" i="15"/>
  <c r="E149" i="15" s="1"/>
  <c r="E29" i="17" s="1"/>
  <c r="G179" i="15"/>
  <c r="I18" i="1"/>
  <c r="M26" i="5"/>
  <c r="E136" i="15" s="1"/>
  <c r="E24" i="17" s="1"/>
  <c r="M15" i="3"/>
  <c r="D19" i="11" s="1"/>
  <c r="E142" i="15"/>
  <c r="E26" i="17" s="1"/>
  <c r="F12" i="2"/>
  <c r="F208" i="15"/>
  <c r="F198" i="15"/>
  <c r="F188" i="15"/>
  <c r="N11" i="1"/>
  <c r="J11" i="2"/>
  <c r="F18" i="1"/>
  <c r="D18" i="11" s="1"/>
  <c r="L11" i="1"/>
  <c r="I35" i="6"/>
  <c r="M11" i="17" l="1"/>
  <c r="L15" i="3"/>
  <c r="C19" i="11" s="1"/>
  <c r="H179" i="15"/>
  <c r="H181" i="15" s="1"/>
  <c r="H182" i="15" s="1"/>
  <c r="G181" i="15"/>
  <c r="G182" i="15" s="1"/>
  <c r="M16" i="3"/>
  <c r="D9" i="11" s="1"/>
  <c r="C31" i="10"/>
  <c r="C8" i="11"/>
  <c r="E8" i="11" s="1"/>
  <c r="D31" i="10"/>
  <c r="D8" i="11"/>
  <c r="F210" i="15"/>
  <c r="G208" i="15"/>
  <c r="G210" i="15" s="1"/>
  <c r="J10" i="2"/>
  <c r="F190" i="15"/>
  <c r="G188" i="15"/>
  <c r="G190" i="15" s="1"/>
  <c r="M12" i="1"/>
  <c r="C7" i="11"/>
  <c r="F200" i="15"/>
  <c r="G198" i="15"/>
  <c r="G200" i="15" s="1"/>
  <c r="F21" i="1"/>
  <c r="D7" i="11" s="1"/>
  <c r="D21" i="11"/>
  <c r="J17" i="1"/>
  <c r="E124" i="15" l="1"/>
  <c r="E125" i="15"/>
  <c r="H23" i="11"/>
  <c r="E126" i="15"/>
  <c r="L16" i="3"/>
  <c r="C9" i="11" s="1"/>
  <c r="E89" i="15" s="1"/>
  <c r="E15" i="17" s="1"/>
  <c r="J18" i="1"/>
  <c r="H25" i="11" l="1"/>
  <c r="I24" i="11" s="1"/>
  <c r="E11" i="17"/>
  <c r="E129" i="15"/>
  <c r="E20" i="11" l="1"/>
  <c r="E22" i="17"/>
  <c r="M4" i="17" s="1"/>
  <c r="I23" i="11"/>
  <c r="I25" i="11" s="1"/>
  <c r="E75" i="15"/>
  <c r="E13" i="17" s="1"/>
  <c r="M2" i="17" l="1"/>
  <c r="M13" i="17"/>
  <c r="E22" i="11" s="1"/>
  <c r="M10" i="17"/>
  <c r="E7" i="11"/>
  <c r="G599" i="18"/>
  <c r="G593" i="18"/>
  <c r="G590" i="18" s="1"/>
  <c r="G574" i="18" s="1"/>
  <c r="G575" i="18" l="1"/>
  <c r="G602" i="18"/>
  <c r="G605" i="18" l="1"/>
  <c r="G576" i="18"/>
  <c r="G608" i="18" l="1"/>
  <c r="G2032" i="18"/>
  <c r="G577" i="18"/>
  <c r="G2036" i="18" l="1"/>
  <c r="H2036" i="18" s="1"/>
  <c r="C6" i="9" s="1"/>
  <c r="F16" i="9" s="1"/>
  <c r="G16" i="9" s="1"/>
  <c r="D12" i="10" s="1"/>
  <c r="G2033" i="18"/>
  <c r="H2033" i="18" s="1"/>
  <c r="C9" i="9" s="1"/>
  <c r="F19" i="9" s="1"/>
  <c r="G19" i="9" s="1"/>
  <c r="I19" i="9" s="1"/>
  <c r="G2034" i="18"/>
  <c r="H2034" i="18" s="1"/>
  <c r="C10" i="9" s="1"/>
  <c r="F20" i="9" s="1"/>
  <c r="G20" i="9" s="1"/>
  <c r="I20" i="9" s="1"/>
  <c r="G2035" i="18"/>
  <c r="H2035" i="18" s="1"/>
  <c r="C7" i="9" s="1"/>
  <c r="H2032" i="18"/>
  <c r="F12" i="10" l="1"/>
  <c r="F16" i="10" s="1"/>
  <c r="D16" i="10"/>
  <c r="C12" i="10"/>
  <c r="F24" i="9"/>
  <c r="G24" i="9" s="1"/>
  <c r="I24" i="9" s="1"/>
  <c r="F28" i="9"/>
  <c r="G28" i="9" s="1"/>
  <c r="I28" i="9" s="1"/>
  <c r="F27" i="9"/>
  <c r="G27" i="9" s="1"/>
  <c r="I27" i="9" s="1"/>
  <c r="G2037" i="18"/>
  <c r="C8" i="9"/>
  <c r="C11" i="9" s="1"/>
  <c r="H2037" i="18"/>
  <c r="F17" i="9"/>
  <c r="G17" i="9" s="1"/>
  <c r="I17" i="9" s="1"/>
  <c r="F25" i="9"/>
  <c r="G25" i="9" s="1"/>
  <c r="I25" i="9" s="1"/>
  <c r="I16" i="9"/>
  <c r="C14" i="10" l="1"/>
  <c r="C13" i="10"/>
  <c r="C16" i="10" s="1"/>
  <c r="C15" i="10"/>
  <c r="H19" i="11"/>
  <c r="E14" i="16"/>
  <c r="D14" i="16" s="1"/>
  <c r="D19" i="10"/>
  <c r="D23" i="10" s="1"/>
  <c r="C19" i="10" s="1"/>
  <c r="F26" i="9"/>
  <c r="G26" i="9" s="1"/>
  <c r="I26" i="9" s="1"/>
  <c r="I29" i="9" s="1"/>
  <c r="D29" i="10" s="1"/>
  <c r="D32" i="10" s="1"/>
  <c r="F18" i="9"/>
  <c r="G18" i="9" s="1"/>
  <c r="I18" i="9" s="1"/>
  <c r="I21" i="9" s="1"/>
  <c r="F171" i="15" s="1"/>
  <c r="G173" i="15"/>
  <c r="C11" i="11"/>
  <c r="E11" i="11" s="1"/>
  <c r="F19" i="10"/>
  <c r="F23" i="10" s="1"/>
  <c r="D11" i="11" s="1"/>
  <c r="J19" i="11" l="1"/>
  <c r="H20" i="11"/>
  <c r="F56" i="15"/>
  <c r="D56" i="15"/>
  <c r="C10" i="11"/>
  <c r="C12" i="11" s="1"/>
  <c r="H10" i="11" s="1"/>
  <c r="E35" i="17"/>
  <c r="M8" i="17" s="1"/>
  <c r="C17" i="11"/>
  <c r="D16" i="16"/>
  <c r="E8" i="16" s="1"/>
  <c r="D47" i="17" s="1"/>
  <c r="D17" i="11"/>
  <c r="D24" i="11" s="1"/>
  <c r="D7" i="12" s="1"/>
  <c r="D14" i="12" s="1"/>
  <c r="D19" i="12" s="1"/>
  <c r="I171" i="15"/>
  <c r="D10" i="11"/>
  <c r="D12" i="11" s="1"/>
  <c r="C29" i="10"/>
  <c r="C32" i="10" s="1"/>
  <c r="E171" i="15"/>
  <c r="D173" i="15"/>
  <c r="C21" i="10"/>
  <c r="C22" i="10"/>
  <c r="C20" i="10"/>
  <c r="E173" i="15" l="1"/>
  <c r="D35" i="17"/>
  <c r="N8" i="17" s="1"/>
  <c r="E17" i="11"/>
  <c r="D58" i="15"/>
  <c r="D59" i="15" s="1"/>
  <c r="D9" i="17" s="1"/>
  <c r="D44" i="17" s="1"/>
  <c r="E56" i="15"/>
  <c r="E58" i="15" s="1"/>
  <c r="E9" i="17" s="1"/>
  <c r="M5" i="17" s="1"/>
  <c r="F58" i="15"/>
  <c r="F59" i="15" s="1"/>
  <c r="G56" i="15"/>
  <c r="G58" i="15" s="1"/>
  <c r="G59" i="15" s="1"/>
  <c r="I173" i="15"/>
  <c r="J171" i="15"/>
  <c r="J173" i="15" s="1"/>
  <c r="J17" i="11"/>
  <c r="J20" i="11" s="1"/>
  <c r="F173" i="15"/>
  <c r="C24" i="11"/>
  <c r="C23" i="10"/>
  <c r="I11" i="11"/>
  <c r="I7" i="11"/>
  <c r="I9" i="11"/>
  <c r="I8" i="11"/>
  <c r="I10" i="11"/>
  <c r="H8" i="11"/>
  <c r="E6" i="16"/>
  <c r="E47" i="17" s="1"/>
  <c r="H11" i="11"/>
  <c r="H7" i="11"/>
  <c r="H9" i="11"/>
  <c r="D27" i="11"/>
  <c r="M9" i="17" l="1"/>
  <c r="N9" i="17"/>
  <c r="N16" i="17" s="1"/>
  <c r="N5" i="17"/>
  <c r="N7" i="17" s="1"/>
  <c r="E19" i="11"/>
  <c r="C27" i="11"/>
  <c r="C7" i="12"/>
  <c r="C14" i="12" s="1"/>
  <c r="C19" i="12" s="1"/>
  <c r="H12" i="11"/>
  <c r="I12" i="11"/>
  <c r="E9" i="11"/>
  <c r="M7" i="17" l="1"/>
  <c r="E10" i="11"/>
  <c r="E12" i="11" s="1"/>
  <c r="E18" i="11"/>
  <c r="E24" i="11" s="1"/>
  <c r="M16" i="17"/>
  <c r="E44" i="17"/>
  <c r="J9" i="11" l="1"/>
  <c r="E7" i="12"/>
  <c r="E14" i="12" s="1"/>
  <c r="E19" i="12" s="1"/>
  <c r="J11" i="11" l="1"/>
  <c r="J10" i="11"/>
  <c r="J8" i="11"/>
  <c r="E27" i="11"/>
  <c r="J7" i="11"/>
  <c r="J12" i="11" l="1"/>
</calcChain>
</file>

<file path=xl/sharedStrings.xml><?xml version="1.0" encoding="utf-8"?>
<sst xmlns="http://schemas.openxmlformats.org/spreadsheetml/2006/main" count="12877" uniqueCount="674">
  <si>
    <t>Emisja z tytułu zużycia energii elektrycznej</t>
  </si>
  <si>
    <t>Grupa taryfowa</t>
  </si>
  <si>
    <t>Liczba odbiorców</t>
  </si>
  <si>
    <t>Zużycie MWh</t>
  </si>
  <si>
    <t>A</t>
  </si>
  <si>
    <t>B</t>
  </si>
  <si>
    <t>G</t>
  </si>
  <si>
    <t>SUMA</t>
  </si>
  <si>
    <t>rok 2020</t>
  </si>
  <si>
    <t>C</t>
  </si>
  <si>
    <t>R</t>
  </si>
  <si>
    <t>Łączna emisja</t>
  </si>
  <si>
    <t>rok</t>
  </si>
  <si>
    <t>Emisja z tytułu zużycia gazu sieciowego</t>
  </si>
  <si>
    <r>
      <t>zużycie gazu [m</t>
    </r>
    <r>
      <rPr>
        <b/>
        <vertAlign val="superscript"/>
        <sz val="10"/>
        <color theme="1"/>
        <rFont val="Czcionka tekstu podstawowego"/>
        <charset val="238"/>
      </rPr>
      <t>3</t>
    </r>
    <r>
      <rPr>
        <b/>
        <sz val="10"/>
        <color theme="1"/>
        <rFont val="Czcionka tekstu podstawowego"/>
        <family val="2"/>
        <charset val="238"/>
      </rPr>
      <t>]</t>
    </r>
  </si>
  <si>
    <t>zużycie gazu [GJ]</t>
  </si>
  <si>
    <t>Zużycie [MWh]</t>
  </si>
  <si>
    <r>
      <t>Emisja [Mg CO</t>
    </r>
    <r>
      <rPr>
        <b/>
        <vertAlign val="subscript"/>
        <sz val="10"/>
        <color theme="1"/>
        <rFont val="Czcionka tekstu podstawowego"/>
        <charset val="238"/>
      </rPr>
      <t>2</t>
    </r>
    <r>
      <rPr>
        <b/>
        <sz val="10"/>
        <color theme="1"/>
        <rFont val="Czcionka tekstu podstawowego"/>
        <charset val="238"/>
      </rPr>
      <t>]</t>
    </r>
  </si>
  <si>
    <r>
      <t>wskaźnik emisji [Mg CO</t>
    </r>
    <r>
      <rPr>
        <b/>
        <vertAlign val="subscript"/>
        <sz val="10"/>
        <color theme="1"/>
        <rFont val="Czcionka tekstu podstawowego"/>
        <family val="2"/>
        <charset val="238"/>
      </rPr>
      <t>2</t>
    </r>
    <r>
      <rPr>
        <b/>
        <sz val="10"/>
        <color theme="1"/>
        <rFont val="Czcionka tekstu podstawowego"/>
        <family val="2"/>
        <charset val="238"/>
      </rPr>
      <t>/GJ]</t>
    </r>
  </si>
  <si>
    <t>Gospodarstwa domowe</t>
  </si>
  <si>
    <t>Przemysł</t>
  </si>
  <si>
    <t>Usługi</t>
  </si>
  <si>
    <t>Handel</t>
  </si>
  <si>
    <t>Pozostali</t>
  </si>
  <si>
    <t>Zużycie gazu na terenie gminy                   2020</t>
  </si>
  <si>
    <t>Karta informacyjna</t>
  </si>
  <si>
    <t>Bazowa inwentaryzacja emisji</t>
  </si>
  <si>
    <t>Opis Projektu</t>
  </si>
  <si>
    <t xml:space="preserve">Spis tabel </t>
  </si>
  <si>
    <t>Nazwa</t>
  </si>
  <si>
    <t>Opis</t>
  </si>
  <si>
    <t>INFO</t>
  </si>
  <si>
    <t>en. el.</t>
  </si>
  <si>
    <t xml:space="preserve">en. el. wykr. </t>
  </si>
  <si>
    <t>gaz</t>
  </si>
  <si>
    <t>gaz wykr.</t>
  </si>
  <si>
    <t>tranzyt</t>
  </si>
  <si>
    <t>ruch lok.</t>
  </si>
  <si>
    <t xml:space="preserve">tranzyt ruch. lok. wykr. </t>
  </si>
  <si>
    <t>Oświetlenie</t>
  </si>
  <si>
    <t xml:space="preserve">Ob. publ. </t>
  </si>
  <si>
    <t>Ciepło</t>
  </si>
  <si>
    <t>Ciepło wykr.</t>
  </si>
  <si>
    <t>Ob. publ. Zest.</t>
  </si>
  <si>
    <r>
      <t>Wykresy obrazujące emisję CO</t>
    </r>
    <r>
      <rPr>
        <vertAlign val="subscript"/>
        <sz val="10"/>
        <color theme="1"/>
        <rFont val="Czcionka tekstu podstawowego"/>
        <charset val="238"/>
      </rPr>
      <t>2</t>
    </r>
    <r>
      <rPr>
        <sz val="10"/>
        <color theme="1"/>
        <rFont val="Czcionka tekstu podstawowego"/>
        <family val="2"/>
        <charset val="238"/>
      </rPr>
      <t xml:space="preserve"> z ruchu tranzytowego i lokalnego</t>
    </r>
  </si>
  <si>
    <r>
      <t>Zbiorcze zestawienie obiektów użetyczności publicznej wraz z zużyciem energii elektrycznej i cieplnej oraz emisją CO</t>
    </r>
    <r>
      <rPr>
        <vertAlign val="subscript"/>
        <sz val="10"/>
        <color theme="1"/>
        <rFont val="Czcionka tekstu podstawowego"/>
        <charset val="238"/>
      </rPr>
      <t>2</t>
    </r>
  </si>
  <si>
    <r>
      <t>Emisja CO</t>
    </r>
    <r>
      <rPr>
        <vertAlign val="subscript"/>
        <sz val="10"/>
        <color theme="1"/>
        <rFont val="Czcionka tekstu podstawowego"/>
        <charset val="238"/>
      </rPr>
      <t>2</t>
    </r>
    <r>
      <rPr>
        <sz val="10"/>
        <color theme="1"/>
        <rFont val="Czcionka tekstu podstawowego"/>
        <family val="2"/>
        <charset val="238"/>
      </rPr>
      <t xml:space="preserve"> z podziałem na poszczególne nośniki energii</t>
    </r>
  </si>
  <si>
    <t xml:space="preserve">Nazwa projektu </t>
  </si>
  <si>
    <t>Emisja z ruchu lokalnego</t>
  </si>
  <si>
    <t>Rodzaj Paliwa</t>
  </si>
  <si>
    <t>Gęstość paliwa [kg/l]</t>
  </si>
  <si>
    <t>Średni przebieg [km]</t>
  </si>
  <si>
    <t>Średnie spalanie [l/km]</t>
  </si>
  <si>
    <t>wartość opałowa [GJ/kg]</t>
  </si>
  <si>
    <t>Benzyna</t>
  </si>
  <si>
    <t>Diesel</t>
  </si>
  <si>
    <t>LPG</t>
  </si>
  <si>
    <t>Motocykle</t>
  </si>
  <si>
    <t>Sam. Osobowe</t>
  </si>
  <si>
    <t>Sam. Ciężarowe</t>
  </si>
  <si>
    <t>Autobusy</t>
  </si>
  <si>
    <t>Samochody specjalne</t>
  </si>
  <si>
    <t>Ciągniki rolnicze</t>
  </si>
  <si>
    <t>Pojazdy ogółem</t>
  </si>
  <si>
    <r>
      <t>wskaźnik emisji [kg CO</t>
    </r>
    <r>
      <rPr>
        <b/>
        <vertAlign val="subscript"/>
        <sz val="10"/>
        <color theme="1"/>
        <rFont val="Czcionka tekstu podstawowego"/>
        <charset val="238"/>
      </rPr>
      <t>2</t>
    </r>
    <r>
      <rPr>
        <b/>
        <sz val="10"/>
        <color theme="1"/>
        <rFont val="Czcionka tekstu podstawowego"/>
        <charset val="238"/>
      </rPr>
      <t>/GJ]</t>
    </r>
  </si>
  <si>
    <r>
      <t>Emisja - typy pojazdów [MG CO</t>
    </r>
    <r>
      <rPr>
        <b/>
        <vertAlign val="subscript"/>
        <sz val="10"/>
        <color theme="1"/>
        <rFont val="Czcionka tekstu podstawowego"/>
        <charset val="238"/>
      </rPr>
      <t>2</t>
    </r>
    <r>
      <rPr>
        <b/>
        <sz val="10"/>
        <color theme="1"/>
        <rFont val="Czcionka tekstu podstawowego"/>
        <charset val="238"/>
      </rPr>
      <t>]</t>
    </r>
  </si>
  <si>
    <t>Emisja z tytułu zużycia paliw z ruchu lokalnego</t>
  </si>
  <si>
    <t>Emisja z tytułu zużycia paliw z ruchu tranzytowego</t>
  </si>
  <si>
    <t>Liczba pojazdów w roku 2020 - prognoza</t>
  </si>
  <si>
    <t>Wskaźnik [g/km]</t>
  </si>
  <si>
    <t>Dł. Drogi [km]</t>
  </si>
  <si>
    <t>nr drogi</t>
  </si>
  <si>
    <t>Samochody ciężarowe</t>
  </si>
  <si>
    <t>Tranzyt</t>
  </si>
  <si>
    <t>Ruch lokalny</t>
  </si>
  <si>
    <r>
      <t>Emisja CO</t>
    </r>
    <r>
      <rPr>
        <b/>
        <vertAlign val="subscript"/>
        <sz val="10"/>
        <color theme="1"/>
        <rFont val="Calibri"/>
        <family val="2"/>
        <charset val="238"/>
        <scheme val="minor"/>
      </rPr>
      <t>2</t>
    </r>
    <r>
      <rPr>
        <b/>
        <sz val="10"/>
        <color theme="1"/>
        <rFont val="Calibri"/>
        <family val="2"/>
        <charset val="238"/>
        <scheme val="minor"/>
      </rPr>
      <t xml:space="preserve"> [Mg CO</t>
    </r>
    <r>
      <rPr>
        <b/>
        <vertAlign val="subscript"/>
        <sz val="10"/>
        <color theme="1"/>
        <rFont val="Calibri"/>
        <family val="2"/>
        <charset val="238"/>
        <scheme val="minor"/>
      </rPr>
      <t>2</t>
    </r>
    <r>
      <rPr>
        <b/>
        <sz val="10"/>
        <color theme="1"/>
        <rFont val="Calibri"/>
        <family val="2"/>
        <charset val="238"/>
        <scheme val="minor"/>
      </rPr>
      <t>] w 2020 roku - prognoza</t>
    </r>
  </si>
  <si>
    <t>lekkie samochody ciężarowe (dostawcze)</t>
  </si>
  <si>
    <t>Liczba pojazdów - w roku 2020 (prognoza GDDKiA)</t>
  </si>
  <si>
    <t>Lp.</t>
  </si>
  <si>
    <t>Podmiot</t>
  </si>
  <si>
    <t>Źródło ciepła</t>
  </si>
  <si>
    <t>Zużycie ciepła w GJ</t>
  </si>
  <si>
    <t>Wykaz obiektów publicznych</t>
  </si>
  <si>
    <t>ILOŚĆ</t>
  </si>
  <si>
    <t>CZAS ŚWIECENIA</t>
  </si>
  <si>
    <t>Zużycie [kWh]</t>
  </si>
  <si>
    <t>Zuzycie [MWh]</t>
  </si>
  <si>
    <t>roku</t>
  </si>
  <si>
    <t>na dobę</t>
  </si>
  <si>
    <r>
      <t>Wskaźnik emisji [Mg CO</t>
    </r>
    <r>
      <rPr>
        <b/>
        <vertAlign val="subscript"/>
        <sz val="10"/>
        <color theme="1"/>
        <rFont val="Calibri"/>
        <family val="2"/>
        <charset val="238"/>
        <scheme val="minor"/>
      </rPr>
      <t>2</t>
    </r>
    <r>
      <rPr>
        <b/>
        <sz val="10"/>
        <color theme="1"/>
        <rFont val="Calibri"/>
        <family val="2"/>
        <charset val="238"/>
        <scheme val="minor"/>
      </rPr>
      <t>/MWh]</t>
    </r>
  </si>
  <si>
    <r>
      <t>Emisja CO</t>
    </r>
    <r>
      <rPr>
        <b/>
        <vertAlign val="subscript"/>
        <sz val="10"/>
        <color theme="1"/>
        <rFont val="Calibri"/>
        <family val="2"/>
        <charset val="238"/>
        <scheme val="minor"/>
      </rPr>
      <t xml:space="preserve">2 </t>
    </r>
    <r>
      <rPr>
        <b/>
        <sz val="10"/>
        <color theme="1"/>
        <rFont val="Calibri"/>
        <family val="2"/>
        <charset val="238"/>
        <scheme val="minor"/>
      </rPr>
      <t>[Mg CO</t>
    </r>
    <r>
      <rPr>
        <b/>
        <vertAlign val="subscript"/>
        <sz val="10"/>
        <color theme="1"/>
        <rFont val="Calibri"/>
        <family val="2"/>
        <charset val="238"/>
        <scheme val="minor"/>
      </rPr>
      <t>2</t>
    </r>
    <r>
      <rPr>
        <b/>
        <sz val="10"/>
        <color theme="1"/>
        <rFont val="Calibri"/>
        <family val="2"/>
        <charset val="238"/>
        <scheme val="minor"/>
      </rPr>
      <t>]</t>
    </r>
  </si>
  <si>
    <r>
      <t>Emisja CO</t>
    </r>
    <r>
      <rPr>
        <b/>
        <vertAlign val="subscript"/>
        <sz val="10"/>
        <color theme="1"/>
        <rFont val="Calibri"/>
        <family val="2"/>
        <charset val="238"/>
        <scheme val="minor"/>
      </rPr>
      <t>2</t>
    </r>
    <r>
      <rPr>
        <b/>
        <sz val="10"/>
        <color theme="1"/>
        <rFont val="Calibri"/>
        <family val="2"/>
        <charset val="238"/>
        <scheme val="minor"/>
      </rPr>
      <t xml:space="preserve"> [Mg]</t>
    </r>
  </si>
  <si>
    <t>Z tytuły zużycia energii elektrycznej</t>
  </si>
  <si>
    <t>Wskaźnik emisji</t>
  </si>
  <si>
    <r>
      <t>Emisja CO</t>
    </r>
    <r>
      <rPr>
        <vertAlign val="subscript"/>
        <sz val="11"/>
        <color theme="1"/>
        <rFont val="Czcionka tekstu podstawowego"/>
        <charset val="238"/>
      </rPr>
      <t>2</t>
    </r>
    <r>
      <rPr>
        <sz val="11"/>
        <color theme="1"/>
        <rFont val="Czcionka tekstu podstawowego"/>
        <charset val="238"/>
      </rPr>
      <t xml:space="preserve"> z obiektów publicznych</t>
    </r>
  </si>
  <si>
    <r>
      <t>[Mg] Emisja CO</t>
    </r>
    <r>
      <rPr>
        <b/>
        <vertAlign val="subscript"/>
        <sz val="11"/>
        <color theme="1"/>
        <rFont val="Calibri"/>
        <family val="2"/>
        <charset val="238"/>
        <scheme val="minor"/>
      </rPr>
      <t>2</t>
    </r>
  </si>
  <si>
    <t>Z tytuły zużycia gazu</t>
  </si>
  <si>
    <t>Z tytuły zużycia ciepła systemowego</t>
  </si>
  <si>
    <t>Z tytuły zużycia węgla opałowego</t>
  </si>
  <si>
    <t>Zużycie [GJ]</t>
  </si>
  <si>
    <t>Emisja łączna</t>
  </si>
  <si>
    <t>Kategoria</t>
  </si>
  <si>
    <t>Obiekty publiczne</t>
  </si>
  <si>
    <r>
      <t>Emisja CO</t>
    </r>
    <r>
      <rPr>
        <b/>
        <vertAlign val="subscript"/>
        <sz val="11"/>
        <color theme="1"/>
        <rFont val="Calibri"/>
        <family val="2"/>
        <charset val="238"/>
        <scheme val="minor"/>
      </rPr>
      <t>2</t>
    </r>
  </si>
  <si>
    <t>Emisja z tytułu zużycia paliw opałowych - dane dot. systemu ciepłowniczego</t>
  </si>
  <si>
    <t>%</t>
  </si>
  <si>
    <r>
      <t>wskaźnik emisji [MG CO</t>
    </r>
    <r>
      <rPr>
        <b/>
        <vertAlign val="sub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/GJ</t>
    </r>
  </si>
  <si>
    <r>
      <t>Emisja [MG CO</t>
    </r>
    <r>
      <rPr>
        <b/>
        <vertAlign val="sub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]</t>
    </r>
  </si>
  <si>
    <t>systemowe</t>
  </si>
  <si>
    <t>ciepło systemowe</t>
  </si>
  <si>
    <t>gazowe</t>
  </si>
  <si>
    <t>ogrzewanie gazowe</t>
  </si>
  <si>
    <t>węglowe</t>
  </si>
  <si>
    <t>elektryczne</t>
  </si>
  <si>
    <t>ogrzewanie elektryczne</t>
  </si>
  <si>
    <t>biomasa</t>
  </si>
  <si>
    <t>powierzchnia użytkowa mieszkań [m2] 2020 r.</t>
  </si>
  <si>
    <t>zapotrzebowanie na energię [GJ/m2]</t>
  </si>
  <si>
    <t>blomasa</t>
  </si>
  <si>
    <t>Przedsiębiorstwa handlowe i usługowe</t>
  </si>
  <si>
    <t>Przedsiębiorstwa przemysłowe</t>
  </si>
  <si>
    <t>Jednostki budżetowe i obiekty publiczne</t>
  </si>
  <si>
    <t>Emisja z tytułu zużycia paliw opałowych - dane łączne</t>
  </si>
  <si>
    <t>Mieszkalnictwo</t>
  </si>
  <si>
    <t>Przedsiębiorstwa</t>
  </si>
  <si>
    <t>Bilans Emisji</t>
  </si>
  <si>
    <t>Bilans emisji wg rodzajów paliw</t>
  </si>
  <si>
    <t>energia elektryczna</t>
  </si>
  <si>
    <t>paliwa transportowe</t>
  </si>
  <si>
    <t>paliwa opałowe</t>
  </si>
  <si>
    <t>Bilans emisji wg sektorów</t>
  </si>
  <si>
    <t>Transport lokalny</t>
  </si>
  <si>
    <t>Pozostałe</t>
  </si>
  <si>
    <t>ROK</t>
  </si>
  <si>
    <r>
      <t>SUMA emisji CO</t>
    </r>
    <r>
      <rPr>
        <b/>
        <vertAlign val="sub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 xml:space="preserve"> [kg]</t>
    </r>
  </si>
  <si>
    <t>Liczba ludności</t>
  </si>
  <si>
    <r>
      <t>Emisja CO</t>
    </r>
    <r>
      <rPr>
        <b/>
        <vertAlign val="sub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 xml:space="preserve"> [kg]</t>
    </r>
  </si>
  <si>
    <r>
      <t>Dobowa emisja CO</t>
    </r>
    <r>
      <rPr>
        <vertAlign val="subscript"/>
        <sz val="11"/>
        <color theme="1"/>
        <rFont val="Czcionka tekstu podstawowego"/>
        <charset val="238"/>
      </rPr>
      <t>2</t>
    </r>
  </si>
  <si>
    <r>
      <t>Emisja CO</t>
    </r>
    <r>
      <rPr>
        <b/>
        <vertAlign val="subscript"/>
        <sz val="10"/>
        <color theme="1"/>
        <rFont val="Calibri"/>
        <family val="2"/>
        <charset val="238"/>
        <scheme val="minor"/>
      </rPr>
      <t>2</t>
    </r>
    <r>
      <rPr>
        <b/>
        <sz val="10"/>
        <color theme="1"/>
        <rFont val="Calibri"/>
        <family val="2"/>
        <charset val="238"/>
        <scheme val="minor"/>
      </rPr>
      <t xml:space="preserve"> [Mg CO</t>
    </r>
    <r>
      <rPr>
        <b/>
        <vertAlign val="subscript"/>
        <sz val="10"/>
        <color theme="1"/>
        <rFont val="Calibri"/>
        <family val="2"/>
        <charset val="238"/>
        <scheme val="minor"/>
      </rPr>
      <t>2</t>
    </r>
    <r>
      <rPr>
        <b/>
        <sz val="10"/>
        <color theme="1"/>
        <rFont val="Calibri"/>
        <family val="2"/>
        <charset val="238"/>
        <scheme val="minor"/>
      </rPr>
      <t>] w 2015 roku</t>
    </r>
  </si>
  <si>
    <t>Rok</t>
  </si>
  <si>
    <t>SO</t>
  </si>
  <si>
    <t>SD</t>
  </si>
  <si>
    <t>SC</t>
  </si>
  <si>
    <t>SCP</t>
  </si>
  <si>
    <t>Emisja z tytułu zużycia energii na oświetlenie uliczne w roku 2015</t>
  </si>
  <si>
    <t>CZAS ŚWIECENIA (h/rok)</t>
  </si>
  <si>
    <t>Zużycie energii elektrycznej  w MWh</t>
  </si>
  <si>
    <t>Z tytuły zużycia oleju opałowego</t>
  </si>
  <si>
    <t>Liczba mieszkańców 2020 r.</t>
  </si>
  <si>
    <t>Struktura wykorzystania paliw - gospodarstwa domowe</t>
  </si>
  <si>
    <t>Emisja z tytułu zużycia paliw opałowych gospodarstwa domowe - wynik ankietyzacji</t>
  </si>
  <si>
    <r>
      <t>Dobowa emisja CO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[kg] </t>
    </r>
  </si>
  <si>
    <t>Dobowa emisja CO2 [kg]  na 1 mieszkańca</t>
  </si>
  <si>
    <t>Mieszkańcy</t>
  </si>
  <si>
    <t>Zużycie gazu na 1 mieszkańca m3</t>
  </si>
  <si>
    <t>Zużycie gazu na 1 przedsiębiorstwo małe, średnie, duże</t>
  </si>
  <si>
    <t>Arkusz kalkulacyjny inwentaryzacji emisji dwutlenku węgla na terenie Gminy, wykonany na potrzeby Planu gospodarki Niskoemisyjnej</t>
  </si>
  <si>
    <t>rok 2015</t>
  </si>
  <si>
    <t>Zużycie gazu na terenie gminy                   2015</t>
  </si>
  <si>
    <t>Liczba pojazdów w roku 2015</t>
  </si>
  <si>
    <t>powierzchnia użytkowa mieszkań [m2] 2015 r.</t>
  </si>
  <si>
    <t>Liczba mieszkańców 2015 r.</t>
  </si>
  <si>
    <t xml:space="preserve">zapotrzebowanie na energię łączne GJ 2015 r. </t>
  </si>
  <si>
    <t>Emisja 2015 [MG CO2]</t>
  </si>
  <si>
    <t>Lp</t>
  </si>
  <si>
    <t>Planowane lata wdrażania (od-do)</t>
  </si>
  <si>
    <t>Szacowany efekt redukcji energii elektrycznej MWh / cieplnej GJ</t>
  </si>
  <si>
    <t>9.</t>
  </si>
  <si>
    <t>10.</t>
  </si>
  <si>
    <t>ścieżki rowerowe</t>
  </si>
  <si>
    <t>Termomodernizacja</t>
  </si>
  <si>
    <t>Podsumowanie</t>
  </si>
  <si>
    <t>-</t>
  </si>
  <si>
    <t>Szacowany koszt (PLN brutto)</t>
  </si>
  <si>
    <t>Cele:</t>
  </si>
  <si>
    <t>redukcja emisji</t>
  </si>
  <si>
    <t>Mg CO2</t>
  </si>
  <si>
    <t>wzrost udziału energii z OZE</t>
  </si>
  <si>
    <t>MWh</t>
  </si>
  <si>
    <t>redukcja zużycia energii finalnej</t>
  </si>
  <si>
    <t>GJ</t>
  </si>
  <si>
    <t>Zużycie energii finalnej:</t>
  </si>
  <si>
    <t>Szacowany efekt redukcji Emisji CO2 (Mg CO2/ rok)</t>
  </si>
  <si>
    <t>oszczędności w wyniku inwestycji termmodernizacyjnych -ogółem</t>
  </si>
  <si>
    <t>Zużycie ciepła po termomodernizacji (GJ) - ogółem</t>
  </si>
  <si>
    <t>termomodernizacja - koszt                    Ogółem</t>
  </si>
  <si>
    <t>fotowoltaika - moc (kW)</t>
  </si>
  <si>
    <t>fotowoltaika -oszczędność prądu (MWh)</t>
  </si>
  <si>
    <t>fotowoltaika - redukcja CO2</t>
  </si>
  <si>
    <t>fotowoltaika - koszt</t>
  </si>
  <si>
    <t>redukcja zużycia energii po termo. (GJ) - ogółem</t>
  </si>
  <si>
    <t>redukcja emisji (Mg/rok) - Ogółem</t>
  </si>
  <si>
    <t>olej opałowy - wskaźnik emisji</t>
  </si>
  <si>
    <t>ciepło systemowe - wskaźnik emisji</t>
  </si>
  <si>
    <t>energia elektryczna - wskaźnik emisji</t>
  </si>
  <si>
    <t>gaz - wskaźnik emisji</t>
  </si>
  <si>
    <t>węgiel opałowy - wskaźnik emisji</t>
  </si>
  <si>
    <t>termin realizacji termo</t>
  </si>
  <si>
    <t>termin realizacji foto</t>
  </si>
  <si>
    <t>Mg CO2/rok</t>
  </si>
  <si>
    <t>zł</t>
  </si>
  <si>
    <t>MW</t>
  </si>
  <si>
    <t>zużycie energii elektrycznej przed inwestycją (MWh)</t>
  </si>
  <si>
    <t>zużycie energii elektrycznej po inwestycją (MWh)</t>
  </si>
  <si>
    <t>Nazwa działania</t>
  </si>
  <si>
    <t>Redukcja energii finalnej                                 (MWH/rok)</t>
  </si>
  <si>
    <t>Redukcja emisji CO2                   (Mg CO2/rok)</t>
  </si>
  <si>
    <t>Szacowany koszt (zł)</t>
  </si>
  <si>
    <t>„Zielone” zamówienia publiczne</t>
  </si>
  <si>
    <t>Montaż prosumenckich mikroinstalacji fotowoltaicznych na budynkach użyteczności publicznej</t>
  </si>
  <si>
    <t>Popularyzacja ruchu rowerowego i korzystania z publicznych środków transportu</t>
  </si>
  <si>
    <t>Popularyzacja i promowanie ekologicznych zachowań w zakresie transportu – w tym promocja pojazdów z napędem ekologicznym, elektrycznym oraz hybrydy</t>
  </si>
  <si>
    <t>Modernizacja transportu ciężarowego prywatnego i komercyjnego</t>
  </si>
  <si>
    <t>Tworzenie barier ekologicznych - nasadzenia drzew tlenowych o większym poziomie wchłaniania CO2</t>
  </si>
  <si>
    <t>Montaż prosumenckich mikroinstalacji fotowoltaicznych na dachach budynków do 3 kW</t>
  </si>
  <si>
    <t>Montaż mikro/małych instalacji fotowoltaicznych o średniej mocy 20 kW</t>
  </si>
  <si>
    <t>MWh/rok</t>
  </si>
  <si>
    <t>Zł</t>
  </si>
  <si>
    <t xml:space="preserve">Wskaźniki minimum dla CELÓW </t>
  </si>
  <si>
    <t>Szacowana produkcja energii elektrycznej z OŹE</t>
  </si>
  <si>
    <t>Koszt</t>
  </si>
  <si>
    <t>(MWH/rok)</t>
  </si>
  <si>
    <t>Wskaźnik minimum dla CELU</t>
  </si>
  <si>
    <t>Zielone inwestycje</t>
  </si>
  <si>
    <t xml:space="preserve">1. </t>
  </si>
  <si>
    <t>2.</t>
  </si>
  <si>
    <t>planowane lata wdrażania</t>
  </si>
  <si>
    <t>2015-2020</t>
  </si>
  <si>
    <t>zużycie energii po inwestycji      (MWh)</t>
  </si>
  <si>
    <t>zużycie energii przed inwestycją   (MWh)</t>
  </si>
  <si>
    <t>Wyliczenie zużycia przez MŚP (Mg CO2/rok)</t>
  </si>
  <si>
    <t>3.</t>
  </si>
  <si>
    <t>4.</t>
  </si>
  <si>
    <t>5.</t>
  </si>
  <si>
    <t>6.</t>
  </si>
  <si>
    <t>7.</t>
  </si>
  <si>
    <t>modernizacja dróg</t>
  </si>
  <si>
    <t>Modernizacja dróg gminnych: Wymiana nawierzchni</t>
  </si>
  <si>
    <t>8.</t>
  </si>
  <si>
    <t>popularyzacja ruchu rowerowego</t>
  </si>
  <si>
    <t>popularyzacja i promowanie ekologicznych zachowań</t>
  </si>
  <si>
    <t>modernizacja transportu ciężarowego</t>
  </si>
  <si>
    <t>koszt wymiany aut</t>
  </si>
  <si>
    <t>11.</t>
  </si>
  <si>
    <t>12.</t>
  </si>
  <si>
    <t>13.</t>
  </si>
  <si>
    <t>14.</t>
  </si>
  <si>
    <t>Prosument dla mieszkańców</t>
  </si>
  <si>
    <t>moc</t>
  </si>
  <si>
    <t>moc łączna</t>
  </si>
  <si>
    <t>energia wyprodukowana /redukcja</t>
  </si>
  <si>
    <t>Łączny koszt instalacji</t>
  </si>
  <si>
    <t>prosument - społeczność lokalna</t>
  </si>
  <si>
    <t>kW</t>
  </si>
  <si>
    <t>Prosumenckie instalacje 20 kW</t>
  </si>
  <si>
    <t>MWh /rok</t>
  </si>
  <si>
    <t>Elektrownia fotowoltaiczna 1 MW</t>
  </si>
  <si>
    <t>15.</t>
  </si>
  <si>
    <t>16.</t>
  </si>
  <si>
    <t>Współczynnik korygujący</t>
  </si>
  <si>
    <t>Sektor</t>
  </si>
  <si>
    <t>L.p.</t>
  </si>
  <si>
    <t>Budynek</t>
  </si>
  <si>
    <t>Adres</t>
  </si>
  <si>
    <t>Rok budowy</t>
  </si>
  <si>
    <t>Powierzchnia użytkowa</t>
  </si>
  <si>
    <t>Liczba mieszkańców</t>
  </si>
  <si>
    <t>Paliwo</t>
  </si>
  <si>
    <t>Co było termomodernizowane</t>
  </si>
  <si>
    <t>Co planuje się termomodernizować</t>
  </si>
  <si>
    <t>węgiel w tonach/rok [Mg/r]</t>
  </si>
  <si>
    <t>prąd w kWh/a</t>
  </si>
  <si>
    <t>sieć ciepłownicza w GJ/rok</t>
  </si>
  <si>
    <t>pompa ciepła w kWh/rok</t>
  </si>
  <si>
    <t>Zużycie w 2015</t>
  </si>
  <si>
    <t>Ankieta emisji gospodarstwa domowe</t>
  </si>
  <si>
    <t xml:space="preserve">Budynków mieszkalnych </t>
  </si>
  <si>
    <t>wielorodzinny</t>
  </si>
  <si>
    <t>jednorodzinny</t>
  </si>
  <si>
    <t>PROGNOZA bez inwestycji oszczędnościowych</t>
  </si>
  <si>
    <r>
      <t>Emisja CO</t>
    </r>
    <r>
      <rPr>
        <b/>
        <vertAlign val="subscript"/>
        <sz val="10"/>
        <color theme="1"/>
        <rFont val="Calibri"/>
        <family val="2"/>
        <charset val="238"/>
        <scheme val="minor"/>
      </rPr>
      <t>2</t>
    </r>
    <r>
      <rPr>
        <b/>
        <sz val="10"/>
        <color theme="1"/>
        <rFont val="Calibri"/>
        <family val="2"/>
        <charset val="238"/>
        <scheme val="minor"/>
      </rPr>
      <t xml:space="preserve"> [Mg CO</t>
    </r>
    <r>
      <rPr>
        <b/>
        <vertAlign val="subscript"/>
        <sz val="10"/>
        <color theme="1"/>
        <rFont val="Calibri"/>
        <family val="2"/>
        <charset val="238"/>
        <scheme val="minor"/>
      </rPr>
      <t>2</t>
    </r>
    <r>
      <rPr>
        <b/>
        <sz val="10"/>
        <color theme="1"/>
        <rFont val="Calibri"/>
        <family val="2"/>
        <charset val="238"/>
        <scheme val="minor"/>
      </rPr>
      <t>] w 2020 roku - prognoza bez inwestycji oszczędnościowych</t>
    </r>
  </si>
  <si>
    <t>Emisja z ruchu lokalnego - prognoza bez inwestycji oszczędnościowych</t>
  </si>
  <si>
    <t>Emisja z tytułu zużycia energii na oświetlenie uliczne w roku 2020 bez inwestycji oszczędnościowych</t>
  </si>
  <si>
    <t>zapotrzebowanie na energię łączne GJ 2020 r. - prognoza bez inwestycji oszczędnościowych</t>
  </si>
  <si>
    <t>2020 - prognoza bez inwestycji oszczędnościowych</t>
  </si>
  <si>
    <t>prognoza 2020 bez inwestycji oszczędnościowych</t>
  </si>
  <si>
    <t>węgiel</t>
  </si>
  <si>
    <t>prąd</t>
  </si>
  <si>
    <t>Nie</t>
  </si>
  <si>
    <t>Tak</t>
  </si>
  <si>
    <t>przed 1918</t>
  </si>
  <si>
    <t>1945-1970</t>
  </si>
  <si>
    <t>1918-1944</t>
  </si>
  <si>
    <t>1971-1989</t>
  </si>
  <si>
    <t>1990-2015</t>
  </si>
  <si>
    <t>E</t>
  </si>
  <si>
    <t>D</t>
  </si>
  <si>
    <t>F</t>
  </si>
  <si>
    <t xml:space="preserve">węgiel w tonach/rok </t>
  </si>
  <si>
    <r>
      <t>wskaźnik emisji [MG CO</t>
    </r>
    <r>
      <rPr>
        <b/>
        <vertAlign val="subscript"/>
        <sz val="10"/>
        <rFont val="Calibri"/>
        <family val="2"/>
        <charset val="238"/>
        <scheme val="minor"/>
      </rPr>
      <t>2</t>
    </r>
    <r>
      <rPr>
        <b/>
        <sz val="10"/>
        <rFont val="Calibri"/>
        <family val="2"/>
        <charset val="238"/>
        <scheme val="minor"/>
      </rPr>
      <t>/GJ</t>
    </r>
  </si>
  <si>
    <r>
      <t>Emisja [MG CO</t>
    </r>
    <r>
      <rPr>
        <b/>
        <vertAlign val="subscript"/>
        <sz val="10"/>
        <rFont val="Calibri"/>
        <family val="2"/>
        <charset val="238"/>
        <scheme val="minor"/>
      </rPr>
      <t>2</t>
    </r>
    <r>
      <rPr>
        <b/>
        <sz val="10"/>
        <rFont val="Calibri"/>
        <family val="2"/>
        <charset val="238"/>
        <scheme val="minor"/>
      </rPr>
      <t>]</t>
    </r>
  </si>
  <si>
    <r>
      <t>Emisja CO</t>
    </r>
    <r>
      <rPr>
        <b/>
        <vertAlign val="subscript"/>
        <sz val="10"/>
        <rFont val="Czcionka tekstu podstawowego"/>
        <family val="2"/>
        <charset val="238"/>
      </rPr>
      <t>2</t>
    </r>
    <r>
      <rPr>
        <b/>
        <sz val="10"/>
        <rFont val="Czcionka tekstu podstawowego"/>
        <family val="2"/>
        <charset val="238"/>
      </rPr>
      <t xml:space="preserve"> [Mg CO</t>
    </r>
    <r>
      <rPr>
        <b/>
        <vertAlign val="subscript"/>
        <sz val="10"/>
        <rFont val="Czcionka tekstu podstawowego"/>
        <family val="2"/>
        <charset val="238"/>
      </rPr>
      <t>2</t>
    </r>
    <r>
      <rPr>
        <b/>
        <sz val="10"/>
        <rFont val="Czcionka tekstu podstawowego"/>
        <family val="2"/>
        <charset val="238"/>
      </rPr>
      <t>]</t>
    </r>
  </si>
  <si>
    <r>
      <t>wskaźnik emisji [Mg CO</t>
    </r>
    <r>
      <rPr>
        <b/>
        <vertAlign val="subscript"/>
        <sz val="10"/>
        <rFont val="Czcionka tekstu podstawowego"/>
        <family val="2"/>
        <charset val="238"/>
      </rPr>
      <t>2</t>
    </r>
    <r>
      <rPr>
        <b/>
        <sz val="10"/>
        <rFont val="Czcionka tekstu podstawowego"/>
        <family val="2"/>
        <charset val="238"/>
      </rPr>
      <t>/MWh]</t>
    </r>
  </si>
  <si>
    <r>
      <t>Emisja [Mg CO</t>
    </r>
    <r>
      <rPr>
        <b/>
        <vertAlign val="subscript"/>
        <sz val="10"/>
        <rFont val="Czcionka tekstu podstawowego"/>
        <family val="2"/>
        <charset val="238"/>
      </rPr>
      <t>2</t>
    </r>
    <r>
      <rPr>
        <b/>
        <sz val="10"/>
        <rFont val="Czcionka tekstu podstawowego"/>
        <family val="2"/>
        <charset val="238"/>
      </rPr>
      <t>]</t>
    </r>
  </si>
  <si>
    <t>2016-2020</t>
  </si>
  <si>
    <t>Prąd</t>
  </si>
  <si>
    <t>WARIANT PODSTAWOWY</t>
  </si>
  <si>
    <t>PKB</t>
  </si>
  <si>
    <t>Stopa inflacji</t>
  </si>
  <si>
    <t>Stopa bezrobocia</t>
  </si>
  <si>
    <t>Dynamika realnego wzrostu płac</t>
  </si>
  <si>
    <t>Zmiany kursu oraz stopy procentowej odpowiadające wariantowi podstawowemu:</t>
  </si>
  <si>
    <t>EUR/PLN</t>
  </si>
  <si>
    <t>1-roczna stopa WIBOR</t>
  </si>
  <si>
    <t>Założenia makroekonomiczne</t>
  </si>
  <si>
    <t>Gaz</t>
  </si>
  <si>
    <t>A – wysokie napięcie (WN) obejmuje napięcie znamionowe wyższe niż 110kV</t>
  </si>
  <si>
    <t>B – średnie napięcie (SN) obejmuje napięcia znamionowe wyższe niż 1 kV i niższe niż 110 kV</t>
  </si>
  <si>
    <t>C – niskie napięcie (nN) obejmuje napięcie znamionowe nie wyższe niż 1 kV</t>
  </si>
  <si>
    <t>R – oznacza grupę taryfową niezależną od poziomu napięcia zasilania</t>
  </si>
  <si>
    <t>G – gospodarstwa domowe</t>
  </si>
  <si>
    <t>Wskaźnik zgazyfikowania gospodarstw domowych</t>
  </si>
  <si>
    <t>ilość GJ/jednostkę</t>
  </si>
  <si>
    <t>jednostka</t>
  </si>
  <si>
    <t>m3</t>
  </si>
  <si>
    <t>Mg</t>
  </si>
  <si>
    <t>dcm3</t>
  </si>
  <si>
    <t>Tabela 1. Założenia makroekonomiczne – wariant podstawowy *</t>
  </si>
  <si>
    <t xml:space="preserve">*założenia przyjęte zgodnie z oficjalnymi prognozami rządowymi, zawartymi w „– Wytycznych w zakresie zagadnień związanych z przygotowaniem projektów inwestycyjnych, w tym projektów generujących dochód i projektów hybrydowych na lata 2014-2020”. </t>
  </si>
  <si>
    <t>*wskaźnik emisji  podawany do stosowania w danym roku przez
KOSZI/NFOŚIGW na podstawie narzędzia „Tool to calculate the emission factor for an electricity system version 02”.</t>
  </si>
  <si>
    <t>2015*</t>
  </si>
  <si>
    <t>2020**</t>
  </si>
  <si>
    <t>Małe przedsiębiorstwa</t>
  </si>
  <si>
    <t>Średnie przedsiębiorstwa</t>
  </si>
  <si>
    <t>Duże przedsiębiorstwa</t>
  </si>
  <si>
    <t xml:space="preserve">** Prognoza wykonana zgodnie z założeniami przyjętymi w oficjalnych prognozach rządowych, zawartych w „– Wytycznych w zakresie zagadnień związanych z przygotowaniem projektów inwestycyjnych, w tym projektów generujących dochód i projektów hybrydowych na lata 2014-2020”. </t>
  </si>
  <si>
    <t>* wartości wyliczone na podstawie zebranych ankiet w procesie ankietyzacji na potrzeby wykonania bazy emisji w gminie</t>
  </si>
  <si>
    <t>Średnie wartości zużycia MWh energii elektrycznej w danej grupie taryfowej w gminie *</t>
  </si>
  <si>
    <r>
      <t>Wskaźnik emisji z tytułu zużycia gazu  [Mg CO</t>
    </r>
    <r>
      <rPr>
        <b/>
        <vertAlign val="subscript"/>
        <sz val="8"/>
        <rFont val="Czcionka tekstu podstawowego"/>
        <family val="2"/>
        <charset val="238"/>
      </rPr>
      <t>2</t>
    </r>
    <r>
      <rPr>
        <b/>
        <sz val="8"/>
        <rFont val="Czcionka tekstu podstawowego"/>
        <family val="2"/>
        <charset val="238"/>
      </rPr>
      <t>/GJ] *</t>
    </r>
  </si>
  <si>
    <t>gaz ziemny*</t>
  </si>
  <si>
    <t>węgiel*</t>
  </si>
  <si>
    <t>ekogroszek*</t>
  </si>
  <si>
    <t>olej opałowy*</t>
  </si>
  <si>
    <t>energia elektryczna*</t>
  </si>
  <si>
    <t>drewno*</t>
  </si>
  <si>
    <t>* dane na podstawie zestawień w Banku Danych Lokalnych za rok 2014</t>
  </si>
  <si>
    <t>* dane na podstawie zestawień Banku Danych Lokalnych za rok 2014</t>
  </si>
  <si>
    <t>Rok*</t>
  </si>
  <si>
    <t>*Wskaźniki wzrostu ruchu zostały opracowane na podstawie zaktualizowanej prognozy wskaźnika wzrostu PKB do roku 2040, zgodnie z zaleceniami Generalnej Dyrekcji Dróg Krajowych i Autostrad</t>
  </si>
  <si>
    <t>Wskaźnik [g/km]*</t>
  </si>
  <si>
    <t>*średnie jednostkowe emisje CO2 dla poszczególnych kategorii pojazdów przyjęto zgodnie z Załacznikiem nr 2 do Regulaminu I konkursu GIS – Czesc B.1
Metodyka PROGRAM PRIORYTETOWY:
GAZELA – NISKOEMISYJNY TRANSPORT MIEJSKI</t>
  </si>
  <si>
    <t>Długość drogi (km) *</t>
  </si>
  <si>
    <t>* dane pozyskane z urzędy gminy</t>
  </si>
  <si>
    <t>* dane pozyskane ze starostwa powiatowego (wydział komunikacji)</t>
  </si>
  <si>
    <t>Gęstość paliwa [kg/l]*</t>
  </si>
  <si>
    <t>*gęstość paliwa - rozporządzenie ministra środowiska w sprawie wzorów wykazów zawierających informacje i dane i zakresie korzystania ze środowiska oraz o wysokości naleznych opłat</t>
  </si>
  <si>
    <t>Średni przebieg [km]**</t>
  </si>
  <si>
    <t>**średni przebieg - Instytut Transportu Samochodowego</t>
  </si>
  <si>
    <t>***średnie spalanie - Instytut Transportu Samochodowego</t>
  </si>
  <si>
    <t>Średnie spalanie [l/km]***</t>
  </si>
  <si>
    <t>wartość opałowa [GJ/kg]****</t>
  </si>
  <si>
    <r>
      <t>wskaźnik emisji [kg CO</t>
    </r>
    <r>
      <rPr>
        <b/>
        <vertAlign val="subscript"/>
        <sz val="8"/>
        <color theme="1"/>
        <rFont val="Czcionka tekstu podstawowego"/>
        <charset val="238"/>
      </rPr>
      <t>2</t>
    </r>
    <r>
      <rPr>
        <b/>
        <sz val="8"/>
        <color theme="1"/>
        <rFont val="Czcionka tekstu podstawowego"/>
        <charset val="238"/>
      </rPr>
      <t>/GJ]*****</t>
    </r>
  </si>
  <si>
    <t>*wskaźniki emisji CO2 podano zgodnie z wartościami przyjętymi do raportowania w ramach Wspólnotowego Systemu Handlu Uprawnieniami do Emisji, publikowanych przez Krajowego Administratora Systemu Handlu Uprawnieniami do Emisji</t>
  </si>
  <si>
    <t>*****wskaźniki emisji CO2 podano zgodnie z wartościami przyjętymi do raportowania w ramach Wspólnotowego Systemu Handlu Uprawnieniami do Emisji, publikowanych przez Krajowego Administratora Systemu Handlu Uprawnieniami do Emisji</t>
  </si>
  <si>
    <t>****wartość opałowa - Krajowy Ośrodek Bilansowania i Zarządzania Emisjami - Wartości opałowe podano zgodnie z wartościami przyjętymi do raportowania w ramach Wspólnotowego Systemu Handlu Uprawnieniami do Emisji, publikowanych przez Krajowego Administratora Systemu Handlu Uprawnieniami do Emisji</t>
  </si>
  <si>
    <r>
      <t>Zużycie gazu oraz emisja CO</t>
    </r>
    <r>
      <rPr>
        <vertAlign val="subscript"/>
        <sz val="10"/>
        <color theme="1"/>
        <rFont val="Czcionka tekstu podstawowego"/>
        <family val="2"/>
        <charset val="238"/>
      </rPr>
      <t xml:space="preserve">2 </t>
    </r>
    <r>
      <rPr>
        <sz val="10"/>
        <color theme="1"/>
        <rFont val="Czcionka tekstu podstawowego"/>
        <family val="2"/>
        <charset val="238"/>
      </rPr>
      <t>w roku 2015 oraz prognoza bez inwestycji oszczędnościowych na rok 2020</t>
    </r>
  </si>
  <si>
    <r>
      <t>Wykresy obrazujące zużycie energii elektrycznej oraz emisję CO</t>
    </r>
    <r>
      <rPr>
        <vertAlign val="subscript"/>
        <sz val="10"/>
        <color theme="1"/>
        <rFont val="Czcionka tekstu podstawowego"/>
        <family val="2"/>
        <charset val="238"/>
      </rPr>
      <t xml:space="preserve">2 </t>
    </r>
    <r>
      <rPr>
        <sz val="10"/>
        <color theme="1"/>
        <rFont val="Czcionka tekstu podstawowego"/>
        <family val="2"/>
        <charset val="238"/>
      </rPr>
      <t>w roku 2015 oraz prognoza bez inwestycji oszczędnościowych na rok 2020</t>
    </r>
  </si>
  <si>
    <r>
      <t>Zużycie energi elektrycznej oraz emisji CO</t>
    </r>
    <r>
      <rPr>
        <vertAlign val="subscript"/>
        <sz val="10"/>
        <color theme="1"/>
        <rFont val="Czcionka tekstu podstawowego"/>
        <family val="2"/>
        <charset val="238"/>
      </rPr>
      <t>2</t>
    </r>
    <r>
      <rPr>
        <sz val="10"/>
        <color theme="1"/>
        <rFont val="Czcionka tekstu podstawowego"/>
        <family val="2"/>
        <charset val="238"/>
      </rPr>
      <t xml:space="preserve"> w roku 2015 i prognoza bez inwestycji oszczędnościowych na rok 2020</t>
    </r>
  </si>
  <si>
    <r>
      <t>Wykresy obrazujące zużycie gazu oraz emisję CO</t>
    </r>
    <r>
      <rPr>
        <vertAlign val="subscript"/>
        <sz val="10"/>
        <color theme="1"/>
        <rFont val="Czcionka tekstu podstawowego"/>
        <family val="2"/>
        <charset val="238"/>
      </rPr>
      <t xml:space="preserve">2 </t>
    </r>
    <r>
      <rPr>
        <sz val="10"/>
        <color theme="1"/>
        <rFont val="Czcionka tekstu podstawowego"/>
        <family val="2"/>
        <charset val="238"/>
      </rPr>
      <t>w roku 2015 oraz prognoza bez inwestycji oszczędnościowych na rok 2020</t>
    </r>
  </si>
  <si>
    <r>
      <t>Emisja CO</t>
    </r>
    <r>
      <rPr>
        <vertAlign val="subscript"/>
        <sz val="10"/>
        <color theme="1"/>
        <rFont val="Czcionka tekstu podstawowego"/>
        <family val="2"/>
        <charset val="238"/>
      </rPr>
      <t xml:space="preserve">2 </t>
    </r>
    <r>
      <rPr>
        <sz val="10"/>
        <color theme="1"/>
        <rFont val="Czcionka tekstu podstawowego"/>
        <family val="2"/>
        <charset val="238"/>
      </rPr>
      <t>na poszczególnych drogach  w roku 2015 i prognoza bez inwestycji oszczędnościowych na rok 2020</t>
    </r>
  </si>
  <si>
    <r>
      <t>Emisja CO</t>
    </r>
    <r>
      <rPr>
        <vertAlign val="subscript"/>
        <sz val="10"/>
        <color theme="1"/>
        <rFont val="Czcionka tekstu podstawowego"/>
        <charset val="238"/>
      </rPr>
      <t xml:space="preserve">2 </t>
    </r>
    <r>
      <rPr>
        <sz val="10"/>
        <color theme="1"/>
        <rFont val="Czcionka tekstu podstawowego"/>
        <family val="2"/>
        <charset val="238"/>
      </rPr>
      <t>z ruchu lokalnego z podziałem na rodzaj pojazdów i wykorzystywanie paliwa w roku 2015 oraz prognoza bez inwestycji oszczędnościowych na rok 2020</t>
    </r>
  </si>
  <si>
    <r>
      <t>Emisja CO</t>
    </r>
    <r>
      <rPr>
        <vertAlign val="subscript"/>
        <sz val="10"/>
        <color theme="1"/>
        <rFont val="Czcionka tekstu podstawowego"/>
        <charset val="238"/>
      </rPr>
      <t>2</t>
    </r>
    <r>
      <rPr>
        <sz val="10"/>
        <color theme="1"/>
        <rFont val="Czcionka tekstu podstawowego"/>
        <family val="2"/>
        <charset val="238"/>
      </rPr>
      <t xml:space="preserve"> powstała zew zużycia energii elektrycznej na cele oświetleniowe z podziałem na moc opraw w roku 2015 oraz progniza bez inwestycji oszczędnościowych dla roku 2020</t>
    </r>
  </si>
  <si>
    <r>
      <t>Zapotrzebowanie na energię cieplną oraz emisję CO</t>
    </r>
    <r>
      <rPr>
        <vertAlign val="subscript"/>
        <sz val="10"/>
        <color theme="1"/>
        <rFont val="Czcionka tekstu podstawowego"/>
        <charset val="238"/>
      </rPr>
      <t>2</t>
    </r>
    <r>
      <rPr>
        <sz val="10"/>
        <color theme="1"/>
        <rFont val="Czcionka tekstu podstawowego"/>
        <family val="2"/>
        <charset val="238"/>
      </rPr>
      <t xml:space="preserve"> w roku 2015 i prognoza bez inwestycji oszczędnościowych na rok 2020 z podziałem na sposób wytwarzania ciepła i sektory</t>
    </r>
  </si>
  <si>
    <t>Wykresy obrazujące strukturę zużycia paliw oraz strukturę odbiorców w roku 2015 oraz prognoza bez inwestycji oszczędnościowych do roku 2020</t>
  </si>
  <si>
    <r>
      <t>Łączne zestawienie emisji CO</t>
    </r>
    <r>
      <rPr>
        <vertAlign val="subscript"/>
        <sz val="10"/>
        <color theme="1"/>
        <rFont val="Czcionka tekstu podstawowego"/>
        <charset val="238"/>
      </rPr>
      <t>2</t>
    </r>
    <r>
      <rPr>
        <sz val="10"/>
        <color theme="1"/>
        <rFont val="Czcionka tekstu podstawowego"/>
        <family val="2"/>
        <charset val="238"/>
      </rPr>
      <t xml:space="preserve"> z podziałem na nośniki energii oraz sektory w roku 2015 i progniza bez inwestycji oszczędnościowych dla roku 2020</t>
    </r>
  </si>
  <si>
    <r>
      <t>Wskaźnik emisji z tytułu zużycia energii elektrycznej  [Mg CO</t>
    </r>
    <r>
      <rPr>
        <b/>
        <vertAlign val="subscript"/>
        <sz val="8"/>
        <rFont val="Czcionka tekstu podstawowego"/>
        <family val="2"/>
        <charset val="238"/>
      </rPr>
      <t>2</t>
    </r>
    <r>
      <rPr>
        <b/>
        <sz val="8"/>
        <rFont val="Czcionka tekstu podstawowego"/>
        <family val="2"/>
        <charset val="238"/>
      </rPr>
      <t>/MWh]*</t>
    </r>
  </si>
  <si>
    <t>Rodzaj oprawy</t>
  </si>
  <si>
    <t>Oświetlenie uliczne</t>
  </si>
  <si>
    <t>MOC OPRAWY [W]</t>
  </si>
  <si>
    <t>MOC OPRAWY [W]*</t>
  </si>
  <si>
    <t>Rodzaj oprawy*</t>
  </si>
  <si>
    <t>ILOŚĆ*</t>
  </si>
  <si>
    <t xml:space="preserve">*Dane otrzymane z Urzędu Gminy </t>
  </si>
  <si>
    <t>** okres świecenia opraw w ciągu roku wg metodyki programu priorytetowego GIS, Część 6 - SOWA - „Energooszczędne oświetlenie uliczne"</t>
  </si>
  <si>
    <t>CZAS ŚWIECENIA (h/rok)**</t>
  </si>
  <si>
    <t xml:space="preserve">Ilość godzin świecenia w ciągu </t>
  </si>
  <si>
    <t>Zużycie energii elektrycznej  w MWh*</t>
  </si>
  <si>
    <t>*Dane otrzymane z Urzędu Gminy - na podstawie rozliczenia rocznego obkiektu - liczba MWh zużytej energii elektrycznej</t>
  </si>
  <si>
    <t>Źródło ciepła**</t>
  </si>
  <si>
    <t>Zużyte paliwo **</t>
  </si>
  <si>
    <t>** Dane otrzymane z Urzędu Gminy  - na podstawie faktur z rocznego zużycia paliwa opałowego</t>
  </si>
  <si>
    <t>Zużyte paliwo przedstawiono w następujących jednostkach miary</t>
  </si>
  <si>
    <r>
      <t>olej w m</t>
    </r>
    <r>
      <rPr>
        <vertAlign val="superscript"/>
        <sz val="8"/>
        <color theme="1"/>
        <rFont val="Calibri"/>
        <family val="2"/>
        <charset val="238"/>
        <scheme val="minor"/>
      </rPr>
      <t>3</t>
    </r>
    <r>
      <rPr>
        <sz val="8"/>
        <color theme="1"/>
        <rFont val="Calibri"/>
        <family val="2"/>
        <charset val="238"/>
        <scheme val="minor"/>
      </rPr>
      <t>/rok</t>
    </r>
  </si>
  <si>
    <r>
      <t>propan w m</t>
    </r>
    <r>
      <rPr>
        <vertAlign val="superscript"/>
        <sz val="8"/>
        <color theme="1"/>
        <rFont val="Calibri"/>
        <family val="2"/>
        <charset val="238"/>
        <scheme val="minor"/>
      </rPr>
      <t>3/</t>
    </r>
    <r>
      <rPr>
        <sz val="8"/>
        <color theme="1"/>
        <rFont val="Calibri"/>
        <family val="2"/>
        <charset val="238"/>
        <scheme val="minor"/>
      </rPr>
      <t>rok</t>
    </r>
  </si>
  <si>
    <r>
      <t>drewno w m</t>
    </r>
    <r>
      <rPr>
        <vertAlign val="superscript"/>
        <sz val="8"/>
        <color theme="1"/>
        <rFont val="Calibri"/>
        <family val="2"/>
        <charset val="238"/>
        <scheme val="minor"/>
      </rPr>
      <t>3</t>
    </r>
    <r>
      <rPr>
        <sz val="8"/>
        <color theme="1"/>
        <rFont val="Calibri"/>
        <family val="2"/>
        <charset val="238"/>
        <scheme val="minor"/>
      </rPr>
      <t>/rok</t>
    </r>
  </si>
  <si>
    <r>
      <t>Wskaźnik emisji z tytułu zużycia ciepła systemowego  [Mg CO</t>
    </r>
    <r>
      <rPr>
        <b/>
        <vertAlign val="subscript"/>
        <sz val="8"/>
        <rFont val="Czcionka tekstu podstawowego"/>
        <family val="2"/>
        <charset val="238"/>
      </rPr>
      <t>2</t>
    </r>
    <r>
      <rPr>
        <b/>
        <sz val="8"/>
        <rFont val="Czcionka tekstu podstawowego"/>
        <family val="2"/>
        <charset val="238"/>
      </rPr>
      <t>/GJ] *</t>
    </r>
  </si>
  <si>
    <r>
      <t>Wskaźnik emisji z tytułu zużycia węgla opałowego  [Mg CO</t>
    </r>
    <r>
      <rPr>
        <b/>
        <vertAlign val="subscript"/>
        <sz val="8"/>
        <rFont val="Czcionka tekstu podstawowego"/>
        <family val="2"/>
        <charset val="238"/>
      </rPr>
      <t>2</t>
    </r>
    <r>
      <rPr>
        <b/>
        <sz val="8"/>
        <rFont val="Czcionka tekstu podstawowego"/>
        <family val="2"/>
        <charset val="238"/>
      </rPr>
      <t>/GJ] *</t>
    </r>
  </si>
  <si>
    <r>
      <t>Wskaźnik emisji z tytułu zużycia oleju opałowego  [Mg CO</t>
    </r>
    <r>
      <rPr>
        <b/>
        <vertAlign val="subscript"/>
        <sz val="8"/>
        <rFont val="Czcionka tekstu podstawowego"/>
        <family val="2"/>
        <charset val="238"/>
      </rPr>
      <t>2</t>
    </r>
    <r>
      <rPr>
        <b/>
        <sz val="8"/>
        <rFont val="Czcionka tekstu podstawowego"/>
        <family val="2"/>
        <charset val="238"/>
      </rPr>
      <t>/GJ] *</t>
    </r>
  </si>
  <si>
    <t>sieć ciepłownicza</t>
  </si>
  <si>
    <t>prąd w MWh/rok</t>
  </si>
  <si>
    <t>Paliwa opałowe</t>
  </si>
  <si>
    <t>powierzchnia użytkowa mieszkań [m2]</t>
  </si>
  <si>
    <t>zapotrzebowanie na energię [GJ/m2]*</t>
  </si>
  <si>
    <r>
      <t>Wskaźnik emisji z tytułu zużyciabiomasy  [Mg CO</t>
    </r>
    <r>
      <rPr>
        <b/>
        <vertAlign val="subscript"/>
        <sz val="8"/>
        <rFont val="Czcionka tekstu podstawowego"/>
        <family val="2"/>
        <charset val="238"/>
      </rPr>
      <t>2</t>
    </r>
    <r>
      <rPr>
        <b/>
        <sz val="8"/>
        <rFont val="Czcionka tekstu podstawowego"/>
        <family val="2"/>
        <charset val="238"/>
      </rPr>
      <t>/GJ] *</t>
    </r>
  </si>
  <si>
    <t>Ciepło systemowe</t>
  </si>
  <si>
    <t>Liczba przedsiębiorstw na badanym terenie*</t>
  </si>
  <si>
    <t>Zużycie [GJ] energii cieplnej**</t>
  </si>
  <si>
    <t>** dane uzyskane bezpośrednio od firm oraz od dostawcy ciepła systemowego</t>
  </si>
  <si>
    <t>* średnie zapotrzebowanie na energię dla budynków najczęściej występujących w badanym regionie. Są to głównie budynki klasy C-średnio energooszczędne, D - średnio energochłonne (spełniające aktualne wymagania prawne) oraz E - energochłonne oraz częściowo klasy B - energooszczędne. W oparciu o wyliczenia prezentowane w Czasopiśmie Technicznym (zeszyty naukowe Wydawnictwa Politechniki Krakowskiej  "Ocena zapotrzebowania na energię budynku mieszkalnego przy wykorzystaniu dwóch niezależnych programów obliczeniowych" przy śr. powierzchni mieszkania 67 m2.</t>
  </si>
  <si>
    <t>miesiąca</t>
  </si>
  <si>
    <t>Szacowany efekt redukcji Emisji CO2 (Mg CO2/ rok)*</t>
  </si>
  <si>
    <t>MWh*</t>
  </si>
  <si>
    <t>* Przewiduje się działania, jednakże przewidywany możliwy efekt do osiągnięcia w zakresie redukcji emisji CO2 jest tak nikły, że nie bierze się go pod uwagę</t>
  </si>
  <si>
    <t>* dla działań promocyjnych odstąpiono od wskazywania efektu</t>
  </si>
  <si>
    <t>* dla działań promocyjnych w obszarze transportu odstąpiono od wskazywania efektu, ze względu na wskazywanie efektu w za kresie tranportu przy inwestycjach transportowych</t>
  </si>
  <si>
    <t>Zwiększenie efektywności energetycznej w budynkach wykorzystywanych na działalność przemysłową i pozostałą gospodarczą, jak również termomodernizacja źródeł ciepła, wraz ze zmianą źródła na bardziej efektywne pod względem energetycznym</t>
  </si>
  <si>
    <t>* przelicznik MWH na GJ = 3,60</t>
  </si>
  <si>
    <t>Termomodernizacja - przemysł</t>
  </si>
  <si>
    <t>Mg Co2/ rok</t>
  </si>
  <si>
    <t>* Planuje się 2 ha nasadzeń, dla 1 ha nasadzeń (500 drzew) wg danych dystrybutora Oxytree wchłania (oxytree.com/pl):</t>
  </si>
  <si>
    <t>liczba instalacji*</t>
  </si>
  <si>
    <t>Prosument dla przemysłu*</t>
  </si>
  <si>
    <t>* Szacowana liczba inwestycji - są to budynki na których planowane są działania termomodernizacyjne</t>
  </si>
  <si>
    <t>prognoza 2020 z inwestycjami oszczędnościowymi*</t>
  </si>
  <si>
    <t>Popularyzacja ruchu rowerowego</t>
  </si>
  <si>
    <t>2020 - bez inwestycji oszczędnościowych</t>
  </si>
  <si>
    <t>Emisja 2020 [MG CO2] - bez inwestycji oszczędnosćiowych</t>
  </si>
  <si>
    <t>*efekty inwestycji oszczędnościowych dla emisji CO2 z tytułu żużycia gazu i paliw opałowych dodatkowo uwzględniają spadek ludności zgodnie z prognozami demograficznymi GUS</t>
  </si>
  <si>
    <t>suma</t>
  </si>
  <si>
    <t>liczba ludności</t>
  </si>
  <si>
    <t>liczba gospodarstw domowych</t>
  </si>
  <si>
    <t>liczba budynków mieszkalnych</t>
  </si>
  <si>
    <t>wielkość frakcji</t>
  </si>
  <si>
    <t>błąd maksymalny</t>
  </si>
  <si>
    <t>poziom ufności</t>
  </si>
  <si>
    <t>wymagana liczba ankiet</t>
  </si>
  <si>
    <t>gaz w litrach/rok</t>
  </si>
  <si>
    <t>LPG*</t>
  </si>
  <si>
    <t>2017-2020</t>
  </si>
  <si>
    <t>km</t>
  </si>
  <si>
    <r>
      <t>zużycie energii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przed inwestycją   (MWh) </t>
    </r>
  </si>
  <si>
    <r>
      <t>zużycie energii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po inwestycji      (MWh)</t>
    </r>
  </si>
  <si>
    <t>Długość całej planowanej sieci ścieżek rowerowych</t>
  </si>
  <si>
    <t>Tworzenie barier ekologicznych - Oxy Tree: 2 ha x 500 sadzonek x 50 zł</t>
  </si>
  <si>
    <r>
      <t xml:space="preserve">Szacowany efekt redukcji energii cieplnej                         </t>
    </r>
    <r>
      <rPr>
        <b/>
        <sz val="11"/>
        <color theme="1"/>
        <rFont val="Calibri"/>
        <family val="2"/>
        <charset val="238"/>
        <scheme val="minor"/>
      </rPr>
      <t>GJ</t>
    </r>
  </si>
  <si>
    <r>
      <t xml:space="preserve">Szacowany efekt redukcji energii cieplnej                     </t>
    </r>
    <r>
      <rPr>
        <b/>
        <sz val="11"/>
        <color theme="1"/>
        <rFont val="Calibri"/>
        <family val="2"/>
        <charset val="238"/>
        <scheme val="minor"/>
      </rPr>
      <t>MWh</t>
    </r>
  </si>
  <si>
    <r>
      <t>zużycie energii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przed inwestycją   </t>
    </r>
    <r>
      <rPr>
        <b/>
        <sz val="11"/>
        <color theme="1"/>
        <rFont val="Calibri"/>
        <family val="2"/>
        <charset val="238"/>
        <scheme val="minor"/>
      </rPr>
      <t xml:space="preserve">(GJ) </t>
    </r>
  </si>
  <si>
    <r>
      <t>zużycie energii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po inwestycji      </t>
    </r>
    <r>
      <rPr>
        <b/>
        <sz val="11"/>
        <color theme="1"/>
        <rFont val="Calibri"/>
        <family val="2"/>
        <charset val="238"/>
        <scheme val="minor"/>
      </rPr>
      <t>(GJ)</t>
    </r>
  </si>
  <si>
    <r>
      <t xml:space="preserve">energia wyprodukowana /redukcja              </t>
    </r>
    <r>
      <rPr>
        <b/>
        <sz val="11"/>
        <color theme="1"/>
        <rFont val="Calibri"/>
        <family val="2"/>
        <charset val="238"/>
        <scheme val="minor"/>
      </rPr>
      <t xml:space="preserve"> MWh</t>
    </r>
  </si>
  <si>
    <t>*szacowana liczba powstałych instalacji na terenie gminy o mocy do 3 KW - zgodnie z deklaracjami jest to ok 13 % termodernizowanych budynków mieszkalnych</t>
  </si>
  <si>
    <t>2015-2018</t>
  </si>
  <si>
    <t>* dane na podstawie zestawień w Banku Danych Lokalnych za rok 2015</t>
  </si>
  <si>
    <t>13**</t>
  </si>
  <si>
    <t>% sieci dróg jaki obejmuje inwestycja</t>
  </si>
  <si>
    <t>liczba sam ciężarowych do zmiany (5%)</t>
  </si>
  <si>
    <r>
      <t>Modernizacja taboru ciężarowego do 2020 -</t>
    </r>
    <r>
      <rPr>
        <sz val="11"/>
        <color rgb="FFFF0000"/>
        <rFont val="Czcionka tekstu podstawowego"/>
        <charset val="238"/>
      </rPr>
      <t xml:space="preserve"> redukcja emisji dla ruchu lokalnego 20% z tytułu modernizacji, wskażnik redukcji jednakże obliczamy tylko dla 5% zmodernizowanego taboru</t>
    </r>
  </si>
  <si>
    <t>Budowa elektrowni fotowoltaicznej o mocy 1 MW</t>
  </si>
  <si>
    <t>prosument dla przemysłu</t>
  </si>
  <si>
    <t>modernizacja taboru ciężarowego</t>
  </si>
  <si>
    <t>Bilans zużycia energii wg rodzajów paliw</t>
  </si>
  <si>
    <t>redukcja CO2</t>
  </si>
  <si>
    <t>redukcja zużycia energii</t>
  </si>
  <si>
    <t>Szprotawa</t>
  </si>
  <si>
    <t>Tak (nowe okna szyby zespolone, ocieplenie dachu)</t>
  </si>
  <si>
    <t>Tak (nowe okna szyby zespolone)</t>
  </si>
  <si>
    <t>Tak (nowe okna szyby zespolone, ocieplenie dachu, ocieplenie ścian) 2012</t>
  </si>
  <si>
    <t>Tak (nowe okna szyby zespolone, ocieplenie dachu, ocieplenie ścian) 2013</t>
  </si>
  <si>
    <t>Tak (nowe okna szyby zespolone, ocieplenie dachu, ocieplenie ścian) 2015</t>
  </si>
  <si>
    <t xml:space="preserve">Nie </t>
  </si>
  <si>
    <t>Tak (nowe okna szyby zespolone, ocieplenie dachu, ocieplenie ścian) 2010</t>
  </si>
  <si>
    <t>Tak (nowe okna szyby zespolone, ocieplenie ścian) 2010</t>
  </si>
  <si>
    <t>Tak (nowe okna szyby zespolone, ocieplenie dachu, ocieplenie ścian) 2011</t>
  </si>
  <si>
    <t>Tak (nowe okna szyby zespolone, ocieplenie dachu, ocieplenie ścian) 2006</t>
  </si>
  <si>
    <t>Tak (nowe okna szyby zespolone, ocieplenie dachu, ocieplenie ściań) 2009</t>
  </si>
  <si>
    <t>Tak (wymiana oświetlenia na energooszczędne)</t>
  </si>
  <si>
    <t>Tak (nowe okna szyby zespolone, ocieplenie dachu, ocieplenie ściań) 2008</t>
  </si>
  <si>
    <t>Tak (ocieplenie ścian zewnętrznych)</t>
  </si>
  <si>
    <t>Tak (ocieplenie ścian zewnętrznych, ocieplenie dachu, wymiana oświetlenia na energooszczędne</t>
  </si>
  <si>
    <t>Tak (ocieplenie ścian zewnętrznych, wymiania okien drzwi)</t>
  </si>
  <si>
    <t>Tak (nowe okna szyby zespolone, ocieplenie ścian) 2015</t>
  </si>
  <si>
    <t>Tak (nowe okna szyby zespolone, ocieplenie dachu, ocieplenie ścian) 2007</t>
  </si>
  <si>
    <t>Tak (nowe okna szyby zespolone, ocieplenie dachu, ocieplenie ścian) 2008</t>
  </si>
  <si>
    <t>Tak (nowe okna szyby zespolone, ocieplenie ścian) 2016</t>
  </si>
  <si>
    <t>Tak (nowe okna szyby zespolone, ocieplenie dachu, ocieplenie ścian) 2016</t>
  </si>
  <si>
    <t>Tak (nowe okna szyby zespolone, ocieplenie ścian) 2013</t>
  </si>
  <si>
    <t>przemysłowy</t>
  </si>
  <si>
    <t>Tak (nowe okna szyby zespolone, ocieplenie ścian) 2012</t>
  </si>
  <si>
    <t>inst.c.o.</t>
  </si>
  <si>
    <t>Tak (ocieplenie ścian zewnętrznych, ocieplenie dachu)</t>
  </si>
  <si>
    <t>Tak (nowe okna szyby zespolone, ocieplenie dachu, ocieplenie ścian)</t>
  </si>
  <si>
    <t>Tak (nowe okna szyby zespolone, ocieplenie ścian)</t>
  </si>
  <si>
    <t>Tak (ocieplenie dachu)</t>
  </si>
  <si>
    <t>Tak (nowe okna szyby zespolone, ocieplenie dachu, ocieplenie ścian) 2009</t>
  </si>
  <si>
    <t>Tak (nowe okna szyby zespolone, ocieplenie dachu, ocieplenie ścian) 2005</t>
  </si>
  <si>
    <t>Tak (nowe okna szyby zespolone, ocieplenie dachu, ocieplenie ścian) 2004</t>
  </si>
  <si>
    <t>Tak (ocieplenie ścian)</t>
  </si>
  <si>
    <t>Tak ( ocieplenie ścian, ocieplenie stropu/dachu/stropodachu, wymiana okien i drzwi)</t>
  </si>
  <si>
    <t>Tak (ocieplenie stropu/dachu/stropodachu, wymiana okien i drzwi)</t>
  </si>
  <si>
    <t>Tak (ocieplenie ścian, ocieplenie stropu/dachu/stropodachu)</t>
  </si>
  <si>
    <t>Tak(nowe okna szyby zespolone, ocieplenie ścian)</t>
  </si>
  <si>
    <t>Tak (ocieplenie stropu/dachu/stropodachu)</t>
  </si>
  <si>
    <t>Tak (montaż kolektorów słonecznych, wymiania oświetlenia na energooszczędne)</t>
  </si>
  <si>
    <t>Tak (montaż pompy ciepła)</t>
  </si>
  <si>
    <t>1918-1945</t>
  </si>
  <si>
    <t>1970-1989</t>
  </si>
  <si>
    <t>Tak (montaż pompy ciepła, wymiana oświetlenia na energooszczędne)</t>
  </si>
  <si>
    <t>Tak (ocieplenie ścian zewnętrznych, ocieplenie stropu/dachu/stropodachu)</t>
  </si>
  <si>
    <t>1945-1971</t>
  </si>
  <si>
    <t>n/d</t>
  </si>
  <si>
    <t>wieś</t>
  </si>
  <si>
    <t>Wiechlice</t>
  </si>
  <si>
    <t xml:space="preserve">Tak (nowe okna szyby zespolone, ocieplenie dachu, ocieplenie ścian) </t>
  </si>
  <si>
    <t>Tak (nowe okna szyby zespolone, ocieplenie ścian) 2009</t>
  </si>
  <si>
    <t>Tak (nowe okna szyby zespolone, ocieplenie dachu, ocieplenie ścian) 2000</t>
  </si>
  <si>
    <t>Tak (nowe okna szyby zespolone, ocieplenie dachu, ocieplenie ścian) 2001</t>
  </si>
  <si>
    <t>Borowina</t>
  </si>
  <si>
    <t>Witków</t>
  </si>
  <si>
    <t>Pasterzowice</t>
  </si>
  <si>
    <t>Leszno Górne</t>
  </si>
  <si>
    <t>Tak (nowe okna szyby zespolone, ocieplenie dachu, ocieplenie ścian) 2014</t>
  </si>
  <si>
    <t xml:space="preserve">Tak (montaż kolektorów słonecznych, wymiana oświetlenia na energooszczędne) </t>
  </si>
  <si>
    <t>194-1970</t>
  </si>
  <si>
    <t xml:space="preserve">Tak (wymiana oświetlenia na energooszczędne) </t>
  </si>
  <si>
    <t>Tak(montaż ogniw fotowoltanicznych, wymiana oświetlenia na energooszczędne)</t>
  </si>
  <si>
    <t>Tak(montaż kolektorów słonecznych)</t>
  </si>
  <si>
    <t>Tak(wymiana oświetlenia na energooszczędne)</t>
  </si>
  <si>
    <t>Leszno Dolne</t>
  </si>
  <si>
    <t>Dzikowice</t>
  </si>
  <si>
    <t>Cieciszów</t>
  </si>
  <si>
    <t>Henryków</t>
  </si>
  <si>
    <t>Tak (montaż kolektorów słonecznych, wymiana oświetlenia na energooszczędne)</t>
  </si>
  <si>
    <t>Kartowice</t>
  </si>
  <si>
    <t>przed 1919</t>
  </si>
  <si>
    <t>Bobrowice</t>
  </si>
  <si>
    <t>Siecieborzyce</t>
  </si>
  <si>
    <t>Dziećmiarowice</t>
  </si>
  <si>
    <t>Nowa Kopernia</t>
  </si>
  <si>
    <t>Sieraków</t>
  </si>
  <si>
    <t>Szprotawka</t>
  </si>
  <si>
    <r>
      <t>gaz w m</t>
    </r>
    <r>
      <rPr>
        <b/>
        <vertAlign val="superscript"/>
        <sz val="8"/>
        <rFont val="Calibri"/>
        <family val="2"/>
        <charset val="238"/>
        <scheme val="minor"/>
      </rPr>
      <t>3</t>
    </r>
    <r>
      <rPr>
        <b/>
        <sz val="8"/>
        <rFont val="Calibri"/>
        <family val="2"/>
        <charset val="238"/>
        <scheme val="minor"/>
      </rPr>
      <t>/rok</t>
    </r>
  </si>
  <si>
    <r>
      <t>olej w m</t>
    </r>
    <r>
      <rPr>
        <b/>
        <vertAlign val="superscript"/>
        <sz val="8"/>
        <rFont val="Calibri"/>
        <family val="2"/>
        <charset val="238"/>
        <scheme val="minor"/>
      </rPr>
      <t>3</t>
    </r>
    <r>
      <rPr>
        <b/>
        <sz val="8"/>
        <rFont val="Calibri"/>
        <family val="2"/>
        <charset val="238"/>
        <scheme val="minor"/>
      </rPr>
      <t>/rok</t>
    </r>
  </si>
  <si>
    <r>
      <t>propan w m</t>
    </r>
    <r>
      <rPr>
        <b/>
        <vertAlign val="superscript"/>
        <sz val="8"/>
        <rFont val="Calibri"/>
        <family val="2"/>
        <charset val="238"/>
        <scheme val="minor"/>
      </rPr>
      <t>3/</t>
    </r>
    <r>
      <rPr>
        <b/>
        <sz val="8"/>
        <rFont val="Calibri"/>
        <family val="2"/>
        <charset val="238"/>
        <scheme val="minor"/>
      </rPr>
      <t>rok</t>
    </r>
  </si>
  <si>
    <r>
      <t>drewno w m</t>
    </r>
    <r>
      <rPr>
        <b/>
        <vertAlign val="superscript"/>
        <sz val="8"/>
        <rFont val="Calibri"/>
        <family val="2"/>
        <charset val="238"/>
        <scheme val="minor"/>
      </rPr>
      <t>3</t>
    </r>
    <r>
      <rPr>
        <b/>
        <sz val="8"/>
        <rFont val="Calibri"/>
        <family val="2"/>
        <charset val="238"/>
        <scheme val="minor"/>
      </rPr>
      <t>/rok</t>
    </r>
  </si>
  <si>
    <t>DK nr 12</t>
  </si>
  <si>
    <t>DW nr 297</t>
  </si>
  <si>
    <t>DK12 *</t>
  </si>
  <si>
    <t>DW 297 *</t>
  </si>
  <si>
    <t>2015 (dane na podstawie roku 2015)</t>
  </si>
  <si>
    <t>*Dane do analizy pozyskano z Ministerstwa Infrastruktury i Rozwoju, pomiarów natężenia ruchu Generalnej Dyrekcji Dróg Krajowych i Autostrad oraz danych Instytutu Transportu Samochodowego - 2015</t>
  </si>
  <si>
    <t>Stadion w Szprotawie, ul. Sobieskiego 68 w Szprotawie Nr tel. 68 376 13 70</t>
  </si>
  <si>
    <t>Stadion w Lesznie Górnym, ul. Bolesławiecka, 67 – 321 Leszno Górne Nr tel. 68 376 13 70</t>
  </si>
  <si>
    <t>OPS, ul. Krasińskiego 23, 67 – 300 Szprotawa, nr tel. 68 376 32 30</t>
  </si>
  <si>
    <t>Zespół Szkół Ponadgimnazjalnych im. Bolesława Chrobrego ul. Niepodległości 7, 67 – 300 Szprotawa</t>
  </si>
  <si>
    <t xml:space="preserve">Zespół Szkół Centrum Kształcenia Rolniczego, ul. Henrykowska 54 , 67-300 Szprotawa                          </t>
  </si>
  <si>
    <t xml:space="preserve">Państwowa Szkoła Muzyczna I-stopnia w Szprotawie ul. Konopnickiej 4 67-300 Szprotawa </t>
  </si>
  <si>
    <t>Zespół Szkół Zawodowych im. S. Staszica, ul. Koszarowa 10, 67 – 300 Szprotawa</t>
  </si>
  <si>
    <t>Urząd Miejski u Rynek 45 w Szprotawie</t>
  </si>
  <si>
    <t>Przedszkole Nr 2 ul. Parkowa 4, 67 – 300 Szprotawa nr tel. 68 376 26 91</t>
  </si>
  <si>
    <t>Przedszkole Nr 1 ul. Rolna 1, 67 – 300 Szprotawa nr tel. 68 376 33 04</t>
  </si>
  <si>
    <t>Dom Kultury, ul. Mickiewicza 1, 67 – 300 Szprotawa nr tel. 68 376 24 01</t>
  </si>
  <si>
    <t>Szprotawskie Wodociągi i Kanalizacja, ul. Chrobrego 1, 67 – 300 Szprotawa, nr tel. 68 376 25 26</t>
  </si>
  <si>
    <t>Szprotawski Zarząd Nieruchomościami „Chrobry” Sp. z o.o. ul. Chrobrego 15, 67 – 300 Szprotawa, nr tel. 68 376 33 56</t>
  </si>
  <si>
    <t>Miejska Biblioteka Publiczna w Szprotawie</t>
  </si>
  <si>
    <t>Miejska Biblioteka Publiczna w Wiechlicach</t>
  </si>
  <si>
    <t>Miejska biblioteka Publiczna w Lesznie Górnym</t>
  </si>
  <si>
    <t>Szprotawski Dom Kultury</t>
  </si>
  <si>
    <t>Nowy Szpital w Szprotawie</t>
  </si>
  <si>
    <t>Przedszkole komunalne nr 3 pod Dębami w Szprotawie</t>
  </si>
  <si>
    <t>Zespół Szkół Centrum Kształcenia Rolniczego w Henrykowie</t>
  </si>
  <si>
    <t>Świetlica w Pasterzowicach</t>
  </si>
  <si>
    <t>Sala Wiejska w Dzikowicach</t>
  </si>
  <si>
    <t>Sala Wiejska w Witkowicach</t>
  </si>
  <si>
    <t>OSP w Witkowicach</t>
  </si>
  <si>
    <t>Świetlica wiejska w Dziećmiarowicach</t>
  </si>
  <si>
    <t>drewno</t>
  </si>
  <si>
    <t>Świetlica wiejska w Borowinie</t>
  </si>
  <si>
    <t>OSP w Borowinie</t>
  </si>
  <si>
    <t>Sala wiejska w Cieciszowie</t>
  </si>
  <si>
    <t>Zespół Szkół Nr 1  w Szprotawie  ul. Sienkiewicza 2</t>
  </si>
  <si>
    <t>28.66</t>
  </si>
  <si>
    <t>CELE dla PGNu dla Gminy Szprotawa na lata 2015-2020</t>
  </si>
  <si>
    <t>Termomodernizacja budynków użyteczności publicznej na terenie Gminy Szprotawa</t>
  </si>
  <si>
    <t>transport</t>
  </si>
  <si>
    <t>8*</t>
  </si>
  <si>
    <t>9***</t>
  </si>
  <si>
    <t>10*</t>
  </si>
  <si>
    <t>7***</t>
  </si>
  <si>
    <t>* Planowana jest kompleksowa termomodernizacja - stolarka okienno-drzwiowa, docieplenie przegród pionowych, docieplenie przegród poziomych, wykorzystanie OZE</t>
  </si>
  <si>
    <t>** Planowana jest termomodernizacja dwóch z trzech elementów (stolarka okienno-drzwiowa, przegrody pionowe, przegrody poziome) oraz wykorzystanie OZE - szczegóły w PGN</t>
  </si>
  <si>
    <t>*** Planowana jest termomodernizacja jednego z trzech elementów (stolarka okienno-drzwiowa, przegrody pionowe, przegrody poziome) oraz wykorzystanie OZE - szczegóły w PGN</t>
  </si>
  <si>
    <t>14*</t>
  </si>
  <si>
    <t>28*</t>
  </si>
  <si>
    <t>Sala wiejska w Kartowicach</t>
  </si>
  <si>
    <t>Wieża ciśnień - budynek zabytkowy w Szprotawie</t>
  </si>
  <si>
    <t xml:space="preserve"> Kościół Wniebowzięcia NMP w Szprotawie (Magdalenki)</t>
  </si>
  <si>
    <t>b/d</t>
  </si>
  <si>
    <t>6**</t>
  </si>
  <si>
    <t>Opracowanie Planów i Studiów Zagospodarowania Przestrzennego Gminy Szprotawa</t>
  </si>
  <si>
    <t>Opracowanie PZP</t>
  </si>
  <si>
    <t>2015-2017</t>
  </si>
  <si>
    <t>Inwestycje w obszarze modernizacji lokalnej sieci cieplnej Szprotawskiego Zarządu Nieruchomości „Chrobry” Sp. z o.o.</t>
  </si>
  <si>
    <t>Szacowany efekt redukcji energii cieplnej GJ*</t>
  </si>
  <si>
    <t>zużycie energii przed inwestycją w obszarze ciepła systemowego (GJ)</t>
  </si>
  <si>
    <t>zużycie energii po inwestycji w obszarze ciepła systemowego (GJ)</t>
  </si>
  <si>
    <t>* Przewidywane powyżej działania w obszarze modernizacji Szprotawskiej Sieci Cieplnej będą miały wpływ na redukcję strat przesyłowych, a w tym oszczędność energii końcowej o ok. 30%, w tym dla ok. 5% istniejącej sieci ciepłowniczej, co związane jest z ograniczeniem zużycia energi dla 5% odbieranego ciepła systemowego w obrebie Gminy. Stąd efekt wyliczany jest w następujący sposób: zużycie w Gminie Szprotawa energii cieplnej w zakresie ciepła systemowego x 5 % ( szacowana wielkość procentowa istniejącej sieci ciełowniczje objętej planowanymi inwestycjami) x 30 % (szacowana efektywność energetyczna planowanych przedsięwzięć)</t>
  </si>
  <si>
    <t>Wymiana oświetlenia wewnętrznego w budynku Domu Kultury</t>
  </si>
  <si>
    <t>Wymiana oświetlenia wewnętrznego w budynkach Bibioteki Publicznej</t>
  </si>
  <si>
    <t>Wymiana oświetlenia wewnętrznego w budynkach Kościoła Wniebowzięcia NMP w Szprotawie (Magdalenki)</t>
  </si>
  <si>
    <t>Wymiana oświetlenia wewnętrznego w budynkach Wieży ciśnień - zabtkowego budynku w Szprotawie</t>
  </si>
  <si>
    <t>* działania związane z całkowitą modernizacją oświetlenia na oświetlenie LED mogą dać oszczędności do 60% zużycia energii elektrycznej na oświetlenie wewnętrzne</t>
  </si>
  <si>
    <t>Wymiana oświetlenia wewnętrznego na energooszczędne w budynkach jednostek podległych JST i innym instytucjom publicznym na terenie Gminy Szprotawa</t>
  </si>
  <si>
    <t>Szacowany efekt redukcji energii elektrycznej MWh/rok</t>
  </si>
  <si>
    <t>zużycie energii przed inwestycją   (MWh/rok)</t>
  </si>
  <si>
    <t>zużycie energii po inwestycji      (MWh/rok)</t>
  </si>
  <si>
    <t>17.</t>
  </si>
  <si>
    <t>18.</t>
  </si>
  <si>
    <t>Budowa ścieżek rowerowych na terenie Gminy Szprotawa</t>
  </si>
  <si>
    <t>Budowa ścieżki rowerowej relacji Szprotawa – Kartowice długość ok. 3 km</t>
  </si>
  <si>
    <t>2018-2020</t>
  </si>
  <si>
    <t>2017-2018</t>
  </si>
  <si>
    <t>Budowa i modernizacja dróg lokalnych, wojewódzkich i krajowych na terenie Gminy Szprotawa</t>
  </si>
  <si>
    <t>długość infrastruktury</t>
  </si>
  <si>
    <t>Budowa ronda przy ul. Kościuszki, Młynarskiej, Kochanowskiego i Głogowskiej w Szprotawie - usprawnienie ruchu drogowego</t>
  </si>
  <si>
    <t>Przebudowa i modernizacja dróg wojewódzkich i krajowych na obszarze gminy: poprawa stanu dróg</t>
  </si>
  <si>
    <t xml:space="preserve">22 km droga krajowa nr 12 + </t>
  </si>
  <si>
    <t>74 km dróg lokalnych - powiatowych</t>
  </si>
  <si>
    <t>148 km dróg lokalnych - gminnych</t>
  </si>
  <si>
    <t>*Zgodnie z raportem MIRIAM SP1 04 różnica w zużyciu paliwa, wynikająca z właściwości powierzchni ruchu może wynosić do 10%, przy czym dla dróg lokalnych zakłada się 1-4 %, dla dróg głównych lub zbiorczych 3-8%, zatem na potrzeby niniejszej analizy zakładamy dla dróg gminnych - 3 %, dla dróg powiatowych - 4 %, dla dróg wojewódzkich i krajowych - 5 %. Przy czym stosunek powierzchni modernizowanych dróg, do powierzchni dróg ogółem, dla budowanego ronda nie przekroczy 0,1% długości całej infrastruktury dróg lokalnych - gminnych, dla dróg gminnych nie przekroczy 2,5% długości dróg lokalnych - gminnych, dla dróg powiatowych nie przekroczy 5,5% dróg lokalnych - powiatowych, dla dróg wojewódzkich i krajowych nie przekroczy 7,5% powierzchni dróg woj. i krajowych w granicy Gminy ogółem.</t>
  </si>
  <si>
    <t>Wybór przewoźnika dla transportu, którego tabor wyposażony jest w ekologiczne jednostki napędowe</t>
  </si>
  <si>
    <t>Popularyzacja ruchu rowrowego</t>
  </si>
  <si>
    <t>wybór przewoźnika do transportu</t>
  </si>
  <si>
    <t>*Trudno wskazać obecnie czy jest możliwość wyboru takiego przewoźnika w chwili obecnej, dlatego odstąpiono od wskazywania efektu, natomiast działania będą podejmowane.</t>
  </si>
  <si>
    <t>*Zgodnie z szacunkami w oparciu o przeprowadzoną kwerendę na 83 budynków przemysłowych i usługowo-handlowych, prace termomodernizacyjne będą realizowane na 12 budynkach - wszystkie budynki wykorzystywały gaz do ogrzewania. W związku z tym, iż kwerenda dotyczyła budynków, w których realizowana jest działalność gospodarcza, a inwestycja zmniejsza w sposób istotny koszty funkcjonowania działalności, zakłada się realizację prac przez wszystkich deklarujących. W tym przypadku redukcję emisji CO2 obliczamy w sektorze przemysłu, handlu i usług na poziomie 20 % emisji w roku bazowym dla 14,46 % budynków przemysłowych.</t>
  </si>
  <si>
    <t>Termomodernizacja - przedsiębiorcy (redukcja emisji 20 % od emisji z gazu x 14,46 % - 12/83 ankietowane budynki)</t>
  </si>
  <si>
    <t>Elektrownia fotowoltaiczna</t>
  </si>
  <si>
    <t>Termomodernizacja (modernizacja oświetlenia wewnętrznego) - mieszkańcy (redukcja emisji 30 % od emisji w efekcie zużycia prądu w sektorze mieszkalnictwa * 12,38% - 303 budynki mieszkalne)*</t>
  </si>
  <si>
    <t>*Zgodnie z przeprowadzoną ankietyzacją w 12,38% budynków mieszkalnych będą podejmowane prace termomodernizacyjne (w 303 budynkach na 2448 ), w związku z tym, że planowane działania dotyczą ocieplenia przegród pionowych i poziomych, wymiany stolarki okienno-drzwiowej, modernizacji źródeł ciepła oraz montażu kolektorów słonecznych i pomp ciepła, jak również modernizacji oświetlenia wewnętrznego, w wyniku realizacji działań zakłada się redukcję emisji CO2 w obszarze paliw opałowych oraz zużycia prądu w obszarze mieszkalnictwa na poziomie średnio 30 %, jednakże tylko i wyłącznie dla 12,38 % zinwentaryzowanej emisji w roku bazowym, tj. w 2015. Wynika to z założonego poziomu inwestycji w tym obszarze, tj. inwestycje na 303 budynkach mieszkalnych - zgodnie z deklaracjami ankietowanych osób.</t>
  </si>
  <si>
    <r>
      <t>zużycie energii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przed inwestycją   </t>
    </r>
    <r>
      <rPr>
        <b/>
        <sz val="11"/>
        <color theme="1"/>
        <rFont val="Calibri"/>
        <family val="2"/>
        <charset val="238"/>
        <scheme val="minor"/>
      </rPr>
      <t xml:space="preserve">(MWh) </t>
    </r>
  </si>
  <si>
    <r>
      <t>zużycie energii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po inwestycji      </t>
    </r>
    <r>
      <rPr>
        <b/>
        <sz val="11"/>
        <color theme="1"/>
        <rFont val="Calibri"/>
        <family val="2"/>
        <charset val="238"/>
        <scheme val="minor"/>
      </rPr>
      <t>(MWh)</t>
    </r>
  </si>
  <si>
    <t>Termomodernizacja - mieszkańcy (redukcja emisji 30 % od emisji w zakresie spalania paliw opałowych w sektorze mieszkalnictwa * 12,38% - 303 budynki mieszkalne)*</t>
  </si>
  <si>
    <t>Termomodernizacja + oświetlenie - mieszkalnictwo</t>
  </si>
  <si>
    <t>Biernatów</t>
  </si>
  <si>
    <t>sodowa z 30 % ograniczeniem zużycia mocy w godzinach nocnych</t>
  </si>
  <si>
    <t>sodowe z 30 % ograniczeniem zużycia mocy w godzinach nocnych</t>
  </si>
  <si>
    <t>LED</t>
  </si>
  <si>
    <t>metalo – halogenowe – iluminacje ratusza i kościoła</t>
  </si>
  <si>
    <t>Zwiększenie efektywności energetycznej w mieszkalnictwie, w tym w budynkach wielorodzinnych i jednorodzinnych (termomodernizacja i modernizacja oświetlenia wewnętrznego)</t>
  </si>
  <si>
    <t>4**</t>
  </si>
  <si>
    <t>2019-2020</t>
  </si>
  <si>
    <t>15**</t>
  </si>
  <si>
    <t>paliwa opałowe (węgiel+gaz+ciepło systemowe)</t>
  </si>
  <si>
    <t>14.2</t>
  </si>
  <si>
    <t>14.1</t>
  </si>
  <si>
    <t>Modernizacja lokalnej sieci cieplnej</t>
  </si>
  <si>
    <r>
      <t xml:space="preserve">Zwiększenie efektywności energetycznej w mieszkalnictwie, w tym w budynkach wielorodzinnych i jednorodzinnych - </t>
    </r>
    <r>
      <rPr>
        <b/>
        <sz val="11"/>
        <color theme="1"/>
        <rFont val="Czcionka tekstu podstawowego"/>
        <family val="2"/>
        <charset val="238"/>
      </rPr>
      <t>termomodernizacja</t>
    </r>
  </si>
  <si>
    <r>
      <t xml:space="preserve">Zwiększenie efektywności energetycznej w mieszkalnictwie, w tym w budynkach wielorodzinnych i jednorodzinnych - </t>
    </r>
    <r>
      <rPr>
        <b/>
        <sz val="11"/>
        <color theme="1"/>
        <rFont val="Czcionka tekstu podstawowego"/>
        <family val="2"/>
        <charset val="238"/>
      </rPr>
      <t>modernizacja oświetlenia wewnętrznego</t>
    </r>
  </si>
  <si>
    <t xml:space="preserve">Szkoła Podstawowa w Wiechlicach, Szkoła Filialna w Siecieborzycach, Siecieborzyce 49A, 67-320 Małomice </t>
  </si>
  <si>
    <t>Szkoła Podstawowa nr 2 w Szprotawie , ul. Sobieskiego 58, 67–300 Szprotawanr tel. 6 8 376  59 07,</t>
  </si>
  <si>
    <t xml:space="preserve">Szkoła Podstawowa nr 1 ul. Krasińskiego 7 w Szprotawie </t>
  </si>
  <si>
    <t>Szkoła Podstawowa nr 1 ul. Kopernika 22 w Szprotawie, tel. 68 376 24 02</t>
  </si>
  <si>
    <t>Szkoła Podstawowa nr 1 w Szprotawie, Pl. Kościelny 3</t>
  </si>
  <si>
    <t>Szkoły Podstawowej w Wiechlicach, ul. Brzozowa 17, nr tel. 68 376 75 53</t>
  </si>
  <si>
    <t>Szkoła Podstawowa w Wiechlicach, Szkoła Filialna w Długiem, Długie 79, 67-312 Niegosławice, nr tel. 68 376 80 15</t>
  </si>
  <si>
    <t>Szkoła Podstawowa w Wiechlicach, Szkoła Filialna Leszno Górne, ul. Szkolna 2a, 67-321 Leszno Górne, nr tel. 68 376 65 07</t>
  </si>
  <si>
    <t>1. Modernizacja węzła cieplnego, polegająca na wymianie wymienników i wykonaniu automatyki regulacyjno – pogodowej w węźle cieplnym przy ul. Konopnickiej 35.
2. Wymiana kotłów opalanych paliwem stałym na kotły opalane paliwem gazowym w kotłowni przy ul. Chrobrego 15.
3. Wymiana kotłów opalanych paliwem stałym na kocioł opalany paliwem gazowym w kotłowni przy ul. Koszarowej 4.
4. Wymiana sieci cieplnej nr 2 niskotemperaturowej kanałowej na sieć z rur preizolowanych.
5. Wymiana kotłów opalanych paliwem stałym na kotły opalane paliwem gazowym w kotłowni przy ul,. Sobieskiego 75.</t>
  </si>
  <si>
    <t>Budowa ścieżki rowerowej relacji Szprotawa – Pasterzowice dł. 3 km</t>
  </si>
  <si>
    <t>Budowa ścieżki rowerowej relacji Szprotawka – Leszno Górne, dł 3 km</t>
  </si>
  <si>
    <t>Budowa ścieżki rowerowej relacji Pasterzowice - Długie, dł. 10 km</t>
  </si>
  <si>
    <t>Budowa ścieżki rowerowej relacji Szprotawa - Szprotawka, dł. 5 km</t>
  </si>
  <si>
    <t>2017-2019</t>
  </si>
  <si>
    <t xml:space="preserve">Budowa ścieżek rowerowych na terenie miasta w pasach istniejących dróg – 20 km </t>
  </si>
  <si>
    <t>Przebudowa i modernizacja dróg powiatowych na obszarze gminy: poprawa stanu dróg wraz z budową ścieżek rowerowych</t>
  </si>
  <si>
    <t>Inwestycje łącznie - 44 km                   (% realizacji całości sieci ścieżek rowerowych)</t>
  </si>
  <si>
    <t>* przy wybudowaniu całości planowanych ścieżek szacuje się efekt na poziomie 7,9 % redukcji emisji z tytułu ruchu lokalnego dla motocykli i samochodów, niniejsze inwestycje realizują łącznie 58,67 % (tj. 44 km z planowanych ok. 75 km na terenie całej Gminy), czyli dla powyższych inwestycji jest to 58,67 % realizacji całości planowanej sieci ścieżek rowerowych.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</si>
</sst>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\ _z_ł_-;\-* #,##0.00\ _z_ł_-;_-* &quot;-&quot;??\ _z_ł_-;_-@_-"/>
    <numFmt numFmtId="164" formatCode="_-* #,##0\ _z_ł_-;\-* #,##0\ _z_ł_-;_-* &quot;-&quot;??\ _z_ł_-;_-@_-"/>
    <numFmt numFmtId="165" formatCode="0.0"/>
    <numFmt numFmtId="166" formatCode="#,##0.00_ ;\-#,##0.00\ "/>
    <numFmt numFmtId="167" formatCode="#,##0.0"/>
    <numFmt numFmtId="168" formatCode="#,##0.000"/>
    <numFmt numFmtId="169" formatCode="0.000"/>
    <numFmt numFmtId="170" formatCode="0.0000"/>
    <numFmt numFmtId="171" formatCode="0.00000"/>
    <numFmt numFmtId="172" formatCode="#,##0.0000_ ;\-#,##0.0000\ "/>
  </numFmts>
  <fonts count="115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  <font>
      <b/>
      <sz val="10"/>
      <color theme="1"/>
      <name val="Czcionka tekstu podstawowego"/>
      <charset val="238"/>
    </font>
    <font>
      <b/>
      <vertAlign val="subscript"/>
      <sz val="10"/>
      <color theme="1"/>
      <name val="Czcionka tekstu podstawowego"/>
      <charset val="238"/>
    </font>
    <font>
      <sz val="10"/>
      <color theme="1"/>
      <name val="Czcionka tekstu podstawowego"/>
      <family val="2"/>
      <charset val="238"/>
    </font>
    <font>
      <b/>
      <sz val="10"/>
      <color theme="1"/>
      <name val="Czcionka tekstu podstawowego"/>
      <family val="2"/>
      <charset val="238"/>
    </font>
    <font>
      <b/>
      <vertAlign val="subscript"/>
      <sz val="10"/>
      <color theme="1"/>
      <name val="Czcionka tekstu podstawowego"/>
      <family val="2"/>
      <charset val="238"/>
    </font>
    <font>
      <b/>
      <vertAlign val="superscript"/>
      <sz val="10"/>
      <color theme="1"/>
      <name val="Czcionka tekstu podstawowego"/>
      <charset val="238"/>
    </font>
    <font>
      <sz val="11"/>
      <color theme="1"/>
      <name val="Czcionka tekstu podstawowego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bscript"/>
      <sz val="10"/>
      <color theme="1"/>
      <name val="Czcionka tekstu podstawowego"/>
      <family val="2"/>
      <charset val="238"/>
    </font>
    <font>
      <vertAlign val="subscript"/>
      <sz val="10"/>
      <color theme="1"/>
      <name val="Czcionka tekstu podstawowego"/>
      <charset val="238"/>
    </font>
    <font>
      <sz val="11"/>
      <color theme="1"/>
      <name val="Cambria"/>
      <family val="1"/>
      <charset val="238"/>
      <scheme val="major"/>
    </font>
    <font>
      <b/>
      <sz val="10"/>
      <color theme="1"/>
      <name val="Calibri"/>
      <family val="2"/>
      <charset val="238"/>
      <scheme val="minor"/>
    </font>
    <font>
      <b/>
      <vertAlign val="subscript"/>
      <sz val="10"/>
      <color theme="1"/>
      <name val="Calibri"/>
      <family val="2"/>
      <charset val="238"/>
      <scheme val="minor"/>
    </font>
    <font>
      <b/>
      <vertAlign val="subscript"/>
      <sz val="11"/>
      <color theme="1"/>
      <name val="Calibri"/>
      <family val="2"/>
      <charset val="238"/>
      <scheme val="minor"/>
    </font>
    <font>
      <sz val="12"/>
      <color theme="1"/>
      <name val="Czcionka tekstu podstawowego"/>
      <charset val="238"/>
    </font>
    <font>
      <sz val="12"/>
      <color theme="1"/>
      <name val="Calibri"/>
      <family val="2"/>
      <charset val="238"/>
      <scheme val="minor"/>
    </font>
    <font>
      <vertAlign val="subscript"/>
      <sz val="11"/>
      <color theme="1"/>
      <name val="Czcionka tekstu podstawowego"/>
      <charset val="238"/>
    </font>
    <font>
      <vertAlign val="subscript"/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1"/>
      <color rgb="FFFF0000"/>
      <name val="Czcionka tekstu podstawowego"/>
      <family val="2"/>
      <charset val="238"/>
    </font>
    <font>
      <sz val="10"/>
      <color theme="1"/>
      <name val="Czcionka tekstu podstawowego"/>
      <charset val="238"/>
    </font>
    <font>
      <sz val="14"/>
      <color theme="1"/>
      <name val="Calibri"/>
      <family val="2"/>
      <charset val="238"/>
      <scheme val="minor"/>
    </font>
    <font>
      <b/>
      <sz val="11"/>
      <color rgb="FFFF0000"/>
      <name val="Czcionka tekstu podstawowego"/>
      <charset val="238"/>
    </font>
    <font>
      <sz val="14"/>
      <color theme="1"/>
      <name val="Czcionka tekstu podstawowego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name val="Czcionka tekstu podstawowego"/>
      <family val="2"/>
      <charset val="238"/>
    </font>
    <font>
      <sz val="10"/>
      <color theme="1"/>
      <name val="Calibri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zcionka tekstu podstawowego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rgb="FFFF0000"/>
      <name val="Czcionka tekstu podstawowego"/>
      <charset val="238"/>
    </font>
    <font>
      <sz val="11"/>
      <color rgb="FFFF0000"/>
      <name val="Czcionka tekstu podstawowego"/>
      <charset val="238"/>
    </font>
    <font>
      <b/>
      <sz val="12"/>
      <color rgb="FFFF0000"/>
      <name val="Calibri"/>
      <family val="2"/>
      <charset val="238"/>
    </font>
    <font>
      <i/>
      <sz val="11"/>
      <color theme="1"/>
      <name val="Czcionka tekstu podstawowego"/>
      <family val="2"/>
      <charset val="238"/>
    </font>
    <font>
      <b/>
      <sz val="14"/>
      <color theme="1"/>
      <name val="Czcionka tekstu podstawowego"/>
      <charset val="238"/>
    </font>
    <font>
      <b/>
      <sz val="11"/>
      <color rgb="FFFF0000"/>
      <name val="Czcionka tekstu podstawowego"/>
      <family val="2"/>
      <charset val="238"/>
    </font>
    <font>
      <b/>
      <sz val="12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vertAlign val="subscript"/>
      <sz val="10"/>
      <name val="Calibri"/>
      <family val="2"/>
      <charset val="238"/>
      <scheme val="minor"/>
    </font>
    <font>
      <sz val="11"/>
      <name val="Czcionka tekstu podstawowego"/>
      <charset val="238"/>
    </font>
    <font>
      <sz val="10"/>
      <name val="Calibri"/>
      <family val="2"/>
      <charset val="238"/>
      <scheme val="minor"/>
    </font>
    <font>
      <b/>
      <sz val="10"/>
      <name val="Czcionka tekstu podstawowego"/>
      <family val="2"/>
      <charset val="238"/>
    </font>
    <font>
      <b/>
      <vertAlign val="subscript"/>
      <sz val="10"/>
      <name val="Czcionka tekstu podstawowego"/>
      <family val="2"/>
      <charset val="238"/>
    </font>
    <font>
      <sz val="10"/>
      <name val="Czcionka tekstu podstawowego"/>
      <family val="2"/>
      <charset val="238"/>
    </font>
    <font>
      <b/>
      <sz val="11"/>
      <name val="Czcionka tekstu podstawowego"/>
      <family val="2"/>
      <charset val="238"/>
    </font>
    <font>
      <sz val="10"/>
      <name val="Arial"/>
      <family val="2"/>
      <charset val="238"/>
    </font>
    <font>
      <sz val="8"/>
      <color indexed="8"/>
      <name val="Calibri"/>
      <family val="2"/>
      <charset val="238"/>
      <scheme val="minor"/>
    </font>
    <font>
      <b/>
      <sz val="8"/>
      <color indexed="8"/>
      <name val="Cz"/>
      <charset val="238"/>
    </font>
    <font>
      <sz val="8"/>
      <color indexed="8"/>
      <name val="Cz"/>
      <charset val="238"/>
    </font>
    <font>
      <sz val="8"/>
      <color rgb="FF000000"/>
      <name val="Cz"/>
      <charset val="238"/>
    </font>
    <font>
      <sz val="11"/>
      <name val="Cz"/>
      <charset val="238"/>
    </font>
    <font>
      <b/>
      <sz val="11"/>
      <name val="Cz"/>
      <charset val="238"/>
    </font>
    <font>
      <b/>
      <sz val="8"/>
      <color theme="1"/>
      <name val="Czcionka tekstu podstawowego"/>
      <charset val="238"/>
    </font>
    <font>
      <sz val="8"/>
      <name val="Czcionka tekstu podstawowego"/>
      <charset val="238"/>
    </font>
    <font>
      <sz val="8"/>
      <color theme="1"/>
      <name val="Czcionka tekstu podstawowego"/>
      <charset val="238"/>
    </font>
    <font>
      <sz val="8"/>
      <color theme="1"/>
      <name val="Czcionka tekstu podstawowego"/>
      <family val="2"/>
      <charset val="238"/>
    </font>
    <font>
      <b/>
      <sz val="8"/>
      <name val="Czcionka tekstu podstawowego"/>
      <family val="2"/>
      <charset val="238"/>
    </font>
    <font>
      <b/>
      <vertAlign val="subscript"/>
      <sz val="8"/>
      <name val="Czcionka tekstu podstawowego"/>
      <family val="2"/>
      <charset val="238"/>
    </font>
    <font>
      <sz val="8"/>
      <name val="Czcionka tekstu podstawowego"/>
      <family val="2"/>
      <charset val="238"/>
    </font>
    <font>
      <sz val="8"/>
      <name val="Cz"/>
      <charset val="238"/>
    </font>
    <font>
      <b/>
      <sz val="8"/>
      <color theme="1"/>
      <name val="Calibri"/>
      <family val="2"/>
      <charset val="238"/>
      <scheme val="minor"/>
    </font>
    <font>
      <sz val="8"/>
      <color theme="1"/>
      <name val="Cambria"/>
      <family val="1"/>
      <charset val="238"/>
      <scheme val="major"/>
    </font>
    <font>
      <b/>
      <sz val="12"/>
      <color theme="1"/>
      <name val="Czcionka tekstu podstawowego"/>
      <charset val="238"/>
    </font>
    <font>
      <b/>
      <sz val="8"/>
      <color theme="1"/>
      <name val="Cz"/>
      <charset val="238"/>
    </font>
    <font>
      <sz val="8"/>
      <color theme="1"/>
      <name val="Cz"/>
      <charset val="238"/>
    </font>
    <font>
      <b/>
      <vertAlign val="subscript"/>
      <sz val="8"/>
      <color theme="1"/>
      <name val="Czcionka tekstu podstawowego"/>
      <charset val="238"/>
    </font>
    <font>
      <sz val="11"/>
      <color theme="1"/>
      <name val="Symbol"/>
      <family val="1"/>
      <charset val="2"/>
    </font>
    <font>
      <sz val="8"/>
      <color theme="1"/>
      <name val="Calibri"/>
      <family val="2"/>
      <charset val="238"/>
      <scheme val="minor"/>
    </font>
    <font>
      <vertAlign val="superscript"/>
      <sz val="8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0"/>
      <color rgb="FFFFFF00"/>
      <name val="Arial"/>
      <family val="2"/>
      <charset val="238"/>
    </font>
    <font>
      <sz val="11"/>
      <name val="Calibri"/>
      <family val="2"/>
      <charset val="238"/>
      <scheme val="minor"/>
    </font>
    <font>
      <sz val="8"/>
      <color rgb="FFFF0000"/>
      <name val="Czcionka tekstu podstawowego"/>
      <family val="2"/>
      <charset val="238"/>
    </font>
    <font>
      <sz val="8"/>
      <name val="Calibri"/>
      <family val="2"/>
      <charset val="238"/>
      <scheme val="minor"/>
    </font>
    <font>
      <b/>
      <sz val="8"/>
      <color rgb="FFFF0000"/>
      <name val="Czcionka tekstu podstawowego"/>
      <charset val="238"/>
    </font>
    <font>
      <b/>
      <sz val="8"/>
      <name val="Calibri"/>
      <family val="2"/>
      <charset val="238"/>
      <scheme val="minor"/>
    </font>
    <font>
      <b/>
      <vertAlign val="superscript"/>
      <sz val="8"/>
      <name val="Calibri"/>
      <family val="2"/>
      <charset val="238"/>
      <scheme val="minor"/>
    </font>
    <font>
      <sz val="8"/>
      <name val="Cambria"/>
      <family val="1"/>
      <charset val="238"/>
      <scheme val="major"/>
    </font>
    <font>
      <sz val="10"/>
      <color theme="1"/>
      <name val="Arial Narrow"/>
      <family val="2"/>
      <charset val="238"/>
    </font>
    <font>
      <b/>
      <sz val="9"/>
      <name val="Calibri"/>
      <family val="2"/>
      <charset val="238"/>
      <scheme val="minor"/>
    </font>
    <font>
      <sz val="9"/>
      <color theme="1"/>
      <name val="Czcionka tekstu podstawowego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9"/>
      <color theme="1"/>
      <name val="Czcionka tekstu podstawowego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Calibri"/>
      <family val="2"/>
      <charset val="238"/>
    </font>
    <font>
      <sz val="11"/>
      <color theme="1"/>
      <name val="Czcionka tekstu podstawowego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color rgb="FFFF0000"/>
      <name val="Czcionka tekstu podstawowego"/>
      <family val="2"/>
      <charset val="238"/>
    </font>
    <font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  <font>
      <sz val="10"/>
      <color rgb="FFFF0000"/>
      <name val="Arial Narrow"/>
      <family val="2"/>
      <charset val="238"/>
    </font>
    <font>
      <b/>
      <sz val="12"/>
      <color theme="1"/>
      <name val="Calibri"/>
      <family val="2"/>
      <charset val="238"/>
    </font>
  </fonts>
  <fills count="2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/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10">
    <xf numFmtId="0" fontId="0" fillId="0" borderId="0"/>
    <xf numFmtId="43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47" fillId="8" borderId="0" applyNumberFormat="0" applyBorder="0" applyAlignment="0" applyProtection="0"/>
    <xf numFmtId="0" fontId="66" fillId="0" borderId="0"/>
    <xf numFmtId="0" fontId="4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48" fillId="14" borderId="0" applyNumberFormat="0" applyBorder="0" applyAlignment="0" applyProtection="0"/>
    <xf numFmtId="0" fontId="48" fillId="15" borderId="0" applyNumberFormat="0" applyBorder="0" applyAlignment="0" applyProtection="0"/>
  </cellStyleXfs>
  <cellXfs count="996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14" fillId="2" borderId="14" xfId="0" applyFont="1" applyFill="1" applyBorder="1"/>
    <xf numFmtId="0" fontId="15" fillId="2" borderId="6" xfId="0" applyFont="1" applyFill="1" applyBorder="1" applyAlignment="1">
      <alignment horizontal="center" vertical="center" wrapText="1"/>
    </xf>
    <xf numFmtId="0" fontId="17" fillId="0" borderId="0" xfId="0" applyFont="1"/>
    <xf numFmtId="0" fontId="18" fillId="2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0" fillId="0" borderId="4" xfId="0" applyBorder="1"/>
    <xf numFmtId="0" fontId="15" fillId="0" borderId="9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0" fillId="3" borderId="11" xfId="0" applyFill="1" applyBorder="1" applyAlignment="1">
      <alignment horizontal="center"/>
    </xf>
    <xf numFmtId="0" fontId="0" fillId="0" borderId="0" xfId="0" applyAlignment="1">
      <alignment horizontal="left"/>
    </xf>
    <xf numFmtId="0" fontId="23" fillId="3" borderId="6" xfId="0" applyFont="1" applyFill="1" applyBorder="1" applyAlignment="1">
      <alignment vertical="center"/>
    </xf>
    <xf numFmtId="0" fontId="23" fillId="3" borderId="11" xfId="0" applyFont="1" applyFill="1" applyBorder="1" applyAlignment="1">
      <alignment horizontal="left" vertical="center"/>
    </xf>
    <xf numFmtId="0" fontId="23" fillId="3" borderId="5" xfId="0" applyFont="1" applyFill="1" applyBorder="1"/>
    <xf numFmtId="0" fontId="0" fillId="0" borderId="0" xfId="0" applyBorder="1" applyAlignment="1"/>
    <xf numFmtId="0" fontId="0" fillId="0" borderId="0" xfId="0" applyBorder="1" applyAlignment="1">
      <alignment vertical="top" wrapText="1"/>
    </xf>
    <xf numFmtId="0" fontId="17" fillId="0" borderId="21" xfId="0" applyFont="1" applyBorder="1"/>
    <xf numFmtId="0" fontId="17" fillId="0" borderId="21" xfId="0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0" fontId="17" fillId="0" borderId="4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5" fillId="2" borderId="15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wrapText="1"/>
    </xf>
    <xf numFmtId="0" fontId="0" fillId="3" borderId="28" xfId="0" applyFill="1" applyBorder="1" applyAlignment="1"/>
    <xf numFmtId="0" fontId="0" fillId="3" borderId="27" xfId="0" applyFill="1" applyBorder="1" applyAlignment="1"/>
    <xf numFmtId="0" fontId="21" fillId="3" borderId="26" xfId="0" applyFont="1" applyFill="1" applyBorder="1" applyAlignment="1"/>
    <xf numFmtId="0" fontId="26" fillId="0" borderId="1" xfId="0" applyFont="1" applyBorder="1"/>
    <xf numFmtId="0" fontId="26" fillId="0" borderId="4" xfId="0" applyFont="1" applyBorder="1"/>
    <xf numFmtId="0" fontId="27" fillId="2" borderId="15" xfId="0" applyFont="1" applyFill="1" applyBorder="1" applyAlignment="1">
      <alignment horizontal="center" vertical="center" wrapText="1"/>
    </xf>
    <xf numFmtId="0" fontId="27" fillId="2" borderId="15" xfId="0" applyFont="1" applyFill="1" applyBorder="1" applyAlignment="1">
      <alignment horizontal="center" wrapText="1"/>
    </xf>
    <xf numFmtId="0" fontId="27" fillId="2" borderId="16" xfId="0" applyFont="1" applyFill="1" applyBorder="1" applyAlignment="1">
      <alignment horizontal="center" wrapText="1"/>
    </xf>
    <xf numFmtId="0" fontId="27" fillId="2" borderId="6" xfId="0" applyFont="1" applyFill="1" applyBorder="1" applyAlignment="1">
      <alignment horizontal="center" vertical="center"/>
    </xf>
    <xf numFmtId="0" fontId="27" fillId="2" borderId="8" xfId="0" applyFont="1" applyFill="1" applyBorder="1" applyAlignment="1">
      <alignment horizontal="center" wrapText="1"/>
    </xf>
    <xf numFmtId="0" fontId="27" fillId="2" borderId="8" xfId="0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center" vertical="center"/>
    </xf>
    <xf numFmtId="0" fontId="27" fillId="2" borderId="40" xfId="0" applyFont="1" applyFill="1" applyBorder="1" applyAlignment="1">
      <alignment horizontal="center" vertical="center" wrapText="1"/>
    </xf>
    <xf numFmtId="0" fontId="27" fillId="2" borderId="48" xfId="0" applyFont="1" applyFill="1" applyBorder="1" applyAlignment="1">
      <alignment horizontal="center" vertical="center" wrapText="1"/>
    </xf>
    <xf numFmtId="0" fontId="27" fillId="0" borderId="9" xfId="0" applyFont="1" applyBorder="1" applyAlignment="1">
      <alignment horizontal="center"/>
    </xf>
    <xf numFmtId="0" fontId="27" fillId="2" borderId="7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/>
    </xf>
    <xf numFmtId="0" fontId="27" fillId="0" borderId="9" xfId="0" applyFont="1" applyBorder="1" applyAlignment="1">
      <alignment horizontal="right"/>
    </xf>
    <xf numFmtId="0" fontId="27" fillId="2" borderId="11" xfId="0" applyFont="1" applyFill="1" applyBorder="1" applyAlignment="1">
      <alignment horizontal="right"/>
    </xf>
    <xf numFmtId="0" fontId="22" fillId="2" borderId="14" xfId="0" applyFont="1" applyFill="1" applyBorder="1"/>
    <xf numFmtId="0" fontId="27" fillId="2" borderId="14" xfId="0" applyFont="1" applyFill="1" applyBorder="1" applyAlignment="1">
      <alignment horizontal="center" vertical="center"/>
    </xf>
    <xf numFmtId="0" fontId="21" fillId="2" borderId="26" xfId="0" applyFont="1" applyFill="1" applyBorder="1" applyAlignment="1"/>
    <xf numFmtId="0" fontId="0" fillId="2" borderId="28" xfId="0" applyFill="1" applyBorder="1"/>
    <xf numFmtId="0" fontId="0" fillId="2" borderId="27" xfId="0" applyFill="1" applyBorder="1"/>
    <xf numFmtId="0" fontId="26" fillId="0" borderId="9" xfId="0" applyFont="1" applyBorder="1" applyAlignment="1">
      <alignment horizontal="center"/>
    </xf>
    <xf numFmtId="0" fontId="23" fillId="0" borderId="50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7" fillId="2" borderId="6" xfId="0" applyFont="1" applyFill="1" applyBorder="1" applyAlignment="1">
      <alignment horizontal="center" vertical="center" wrapText="1"/>
    </xf>
    <xf numFmtId="0" fontId="27" fillId="2" borderId="20" xfId="0" applyFont="1" applyFill="1" applyBorder="1"/>
    <xf numFmtId="0" fontId="23" fillId="0" borderId="9" xfId="0" applyFont="1" applyBorder="1"/>
    <xf numFmtId="0" fontId="23" fillId="0" borderId="11" xfId="0" applyFont="1" applyBorder="1"/>
    <xf numFmtId="0" fontId="23" fillId="3" borderId="6" xfId="0" applyFont="1" applyFill="1" applyBorder="1"/>
    <xf numFmtId="0" fontId="0" fillId="3" borderId="28" xfId="0" applyFill="1" applyBorder="1"/>
    <xf numFmtId="0" fontId="0" fillId="3" borderId="27" xfId="0" applyFill="1" applyBorder="1"/>
    <xf numFmtId="0" fontId="23" fillId="0" borderId="9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3" fillId="0" borderId="21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3" fillId="4" borderId="6" xfId="0" applyFont="1" applyFill="1" applyBorder="1" applyAlignment="1">
      <alignment horizontal="center" vertical="center" wrapText="1"/>
    </xf>
    <xf numFmtId="0" fontId="23" fillId="4" borderId="7" xfId="0" applyFont="1" applyFill="1" applyBorder="1" applyAlignment="1">
      <alignment horizontal="center" vertical="center" wrapText="1"/>
    </xf>
    <xf numFmtId="0" fontId="23" fillId="4" borderId="8" xfId="0" applyFont="1" applyFill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/>
    </xf>
    <xf numFmtId="0" fontId="23" fillId="4" borderId="9" xfId="0" applyFont="1" applyFill="1" applyBorder="1"/>
    <xf numFmtId="0" fontId="23" fillId="4" borderId="9" xfId="0" applyFont="1" applyFill="1" applyBorder="1" applyAlignment="1">
      <alignment wrapText="1"/>
    </xf>
    <xf numFmtId="0" fontId="23" fillId="0" borderId="11" xfId="0" applyFont="1" applyBorder="1" applyAlignment="1">
      <alignment horizontal="center" vertical="center"/>
    </xf>
    <xf numFmtId="0" fontId="23" fillId="4" borderId="53" xfId="0" applyFont="1" applyFill="1" applyBorder="1"/>
    <xf numFmtId="0" fontId="23" fillId="0" borderId="9" xfId="0" applyFont="1" applyBorder="1" applyAlignment="1">
      <alignment wrapText="1"/>
    </xf>
    <xf numFmtId="0" fontId="23" fillId="4" borderId="11" xfId="0" applyFont="1" applyFill="1" applyBorder="1" applyAlignment="1">
      <alignment wrapText="1"/>
    </xf>
    <xf numFmtId="0" fontId="22" fillId="5" borderId="0" xfId="0" applyFont="1" applyFill="1" applyBorder="1" applyAlignment="1">
      <alignment horizontal="left" vertical="center" wrapText="1"/>
    </xf>
    <xf numFmtId="0" fontId="23" fillId="3" borderId="1" xfId="0" applyFont="1" applyFill="1" applyBorder="1" applyAlignment="1">
      <alignment horizontal="center"/>
    </xf>
    <xf numFmtId="0" fontId="14" fillId="2" borderId="17" xfId="0" applyFont="1" applyFill="1" applyBorder="1"/>
    <xf numFmtId="2" fontId="0" fillId="0" borderId="10" xfId="0" applyNumberFormat="1" applyBorder="1"/>
    <xf numFmtId="2" fontId="14" fillId="2" borderId="18" xfId="0" applyNumberFormat="1" applyFont="1" applyFill="1" applyBorder="1"/>
    <xf numFmtId="2" fontId="0" fillId="0" borderId="1" xfId="0" applyNumberFormat="1" applyBorder="1"/>
    <xf numFmtId="2" fontId="0" fillId="0" borderId="13" xfId="0" applyNumberFormat="1" applyBorder="1"/>
    <xf numFmtId="2" fontId="0" fillId="3" borderId="12" xfId="0" applyNumberFormat="1" applyFill="1" applyBorder="1" applyAlignment="1">
      <alignment horizontal="center"/>
    </xf>
    <xf numFmtId="43" fontId="0" fillId="3" borderId="12" xfId="1" applyFont="1" applyFill="1" applyBorder="1" applyAlignment="1">
      <alignment horizontal="center"/>
    </xf>
    <xf numFmtId="2" fontId="26" fillId="0" borderId="4" xfId="0" applyNumberFormat="1" applyFont="1" applyBorder="1"/>
    <xf numFmtId="2" fontId="26" fillId="0" borderId="46" xfId="0" applyNumberFormat="1" applyFont="1" applyBorder="1" applyAlignment="1">
      <alignment horizontal="center"/>
    </xf>
    <xf numFmtId="2" fontId="26" fillId="0" borderId="47" xfId="0" applyNumberFormat="1" applyFont="1" applyBorder="1" applyAlignment="1">
      <alignment horizontal="center"/>
    </xf>
    <xf numFmtId="0" fontId="35" fillId="0" borderId="6" xfId="0" applyFont="1" applyFill="1" applyBorder="1" applyAlignment="1">
      <alignment horizontal="center" vertical="center"/>
    </xf>
    <xf numFmtId="0" fontId="35" fillId="0" borderId="7" xfId="0" applyFont="1" applyFill="1" applyBorder="1" applyAlignment="1">
      <alignment horizontal="center" vertical="center"/>
    </xf>
    <xf numFmtId="0" fontId="35" fillId="0" borderId="8" xfId="0" applyFont="1" applyFill="1" applyBorder="1" applyAlignment="1">
      <alignment horizontal="center" vertical="center"/>
    </xf>
    <xf numFmtId="0" fontId="35" fillId="0" borderId="9" xfId="0" applyFont="1" applyFill="1" applyBorder="1" applyAlignment="1">
      <alignment horizontal="center" vertical="center"/>
    </xf>
    <xf numFmtId="2" fontId="36" fillId="0" borderId="1" xfId="0" applyNumberFormat="1" applyFont="1" applyFill="1" applyBorder="1" applyAlignment="1">
      <alignment horizontal="center" vertical="center"/>
    </xf>
    <xf numFmtId="2" fontId="36" fillId="0" borderId="10" xfId="0" applyNumberFormat="1" applyFont="1" applyFill="1" applyBorder="1" applyAlignment="1">
      <alignment horizontal="center" vertical="center"/>
    </xf>
    <xf numFmtId="0" fontId="35" fillId="0" borderId="11" xfId="0" applyFont="1" applyFill="1" applyBorder="1" applyAlignment="1">
      <alignment horizontal="center" vertical="center"/>
    </xf>
    <xf numFmtId="0" fontId="36" fillId="0" borderId="12" xfId="0" applyFont="1" applyFill="1" applyBorder="1" applyAlignment="1">
      <alignment horizontal="center" vertical="center"/>
    </xf>
    <xf numFmtId="0" fontId="36" fillId="0" borderId="13" xfId="0" applyFont="1" applyFill="1" applyBorder="1" applyAlignment="1">
      <alignment horizontal="center" vertical="center"/>
    </xf>
    <xf numFmtId="2" fontId="0" fillId="0" borderId="0" xfId="0" applyNumberFormat="1"/>
    <xf numFmtId="1" fontId="26" fillId="0" borderId="4" xfId="0" applyNumberFormat="1" applyFont="1" applyBorder="1"/>
    <xf numFmtId="1" fontId="26" fillId="0" borderId="1" xfId="0" applyNumberFormat="1" applyFont="1" applyBorder="1"/>
    <xf numFmtId="1" fontId="26" fillId="0" borderId="12" xfId="0" applyNumberFormat="1" applyFont="1" applyBorder="1"/>
    <xf numFmtId="0" fontId="37" fillId="0" borderId="0" xfId="0" applyFont="1"/>
    <xf numFmtId="0" fontId="38" fillId="0" borderId="1" xfId="0" applyFont="1" applyBorder="1" applyAlignment="1">
      <alignment horizontal="center"/>
    </xf>
    <xf numFmtId="0" fontId="0" fillId="3" borderId="4" xfId="0" applyFill="1" applyBorder="1"/>
    <xf numFmtId="0" fontId="0" fillId="3" borderId="1" xfId="0" applyFill="1" applyBorder="1"/>
    <xf numFmtId="1" fontId="0" fillId="0" borderId="4" xfId="0" applyNumberFormat="1" applyBorder="1"/>
    <xf numFmtId="1" fontId="0" fillId="0" borderId="1" xfId="0" applyNumberFormat="1" applyBorder="1"/>
    <xf numFmtId="43" fontId="0" fillId="2" borderId="52" xfId="1" applyFont="1" applyFill="1" applyBorder="1" applyAlignment="1"/>
    <xf numFmtId="2" fontId="26" fillId="0" borderId="1" xfId="0" applyNumberFormat="1" applyFont="1" applyBorder="1"/>
    <xf numFmtId="2" fontId="26" fillId="0" borderId="10" xfId="0" applyNumberFormat="1" applyFont="1" applyBorder="1"/>
    <xf numFmtId="43" fontId="22" fillId="0" borderId="1" xfId="0" applyNumberFormat="1" applyFont="1" applyBorder="1"/>
    <xf numFmtId="43" fontId="0" fillId="0" borderId="1" xfId="0" applyNumberFormat="1" applyBorder="1"/>
    <xf numFmtId="43" fontId="0" fillId="0" borderId="10" xfId="0" applyNumberFormat="1" applyBorder="1"/>
    <xf numFmtId="164" fontId="22" fillId="0" borderId="1" xfId="1" applyNumberFormat="1" applyFont="1" applyBorder="1"/>
    <xf numFmtId="164" fontId="22" fillId="0" borderId="10" xfId="1" applyNumberFormat="1" applyFont="1" applyBorder="1"/>
    <xf numFmtId="0" fontId="27" fillId="2" borderId="41" xfId="0" applyFont="1" applyFill="1" applyBorder="1" applyAlignment="1">
      <alignment horizontal="center" vertical="center" wrapText="1"/>
    </xf>
    <xf numFmtId="2" fontId="22" fillId="0" borderId="18" xfId="0" applyNumberFormat="1" applyFont="1" applyBorder="1"/>
    <xf numFmtId="2" fontId="0" fillId="0" borderId="11" xfId="0" applyNumberFormat="1" applyBorder="1"/>
    <xf numFmtId="0" fontId="31" fillId="0" borderId="23" xfId="0" applyFont="1" applyBorder="1" applyAlignment="1">
      <alignment wrapText="1"/>
    </xf>
    <xf numFmtId="2" fontId="31" fillId="0" borderId="25" xfId="0" applyNumberFormat="1" applyFont="1" applyBorder="1"/>
    <xf numFmtId="0" fontId="23" fillId="0" borderId="9" xfId="0" applyFont="1" applyBorder="1" applyAlignment="1">
      <alignment vertical="center"/>
    </xf>
    <xf numFmtId="10" fontId="22" fillId="0" borderId="10" xfId="0" applyNumberFormat="1" applyFont="1" applyBorder="1"/>
    <xf numFmtId="10" fontId="0" fillId="4" borderId="3" xfId="0" applyNumberFormat="1" applyFill="1" applyBorder="1"/>
    <xf numFmtId="0" fontId="14" fillId="0" borderId="10" xfId="0" applyFont="1" applyBorder="1"/>
    <xf numFmtId="43" fontId="0" fillId="0" borderId="13" xfId="0" applyNumberFormat="1" applyBorder="1"/>
    <xf numFmtId="43" fontId="0" fillId="4" borderId="53" xfId="0" applyNumberFormat="1" applyFill="1" applyBorder="1"/>
    <xf numFmtId="43" fontId="37" fillId="2" borderId="12" xfId="0" applyNumberFormat="1" applyFont="1" applyFill="1" applyBorder="1"/>
    <xf numFmtId="0" fontId="0" fillId="6" borderId="10" xfId="0" applyFill="1" applyBorder="1"/>
    <xf numFmtId="10" fontId="22" fillId="6" borderId="10" xfId="0" applyNumberFormat="1" applyFont="1" applyFill="1" applyBorder="1"/>
    <xf numFmtId="10" fontId="22" fillId="6" borderId="13" xfId="0" applyNumberFormat="1" applyFont="1" applyFill="1" applyBorder="1"/>
    <xf numFmtId="43" fontId="0" fillId="6" borderId="10" xfId="1" applyFont="1" applyFill="1" applyBorder="1"/>
    <xf numFmtId="0" fontId="41" fillId="0" borderId="0" xfId="0" applyFont="1"/>
    <xf numFmtId="0" fontId="42" fillId="4" borderId="5" xfId="0" applyFont="1" applyFill="1" applyBorder="1" applyAlignment="1">
      <alignment horizontal="center" vertical="center" wrapText="1"/>
    </xf>
    <xf numFmtId="0" fontId="42" fillId="3" borderId="6" xfId="0" applyFont="1" applyFill="1" applyBorder="1"/>
    <xf numFmtId="0" fontId="42" fillId="4" borderId="7" xfId="0" applyFont="1" applyFill="1" applyBorder="1" applyAlignment="1">
      <alignment horizontal="center"/>
    </xf>
    <xf numFmtId="0" fontId="42" fillId="3" borderId="9" xfId="0" applyFont="1" applyFill="1" applyBorder="1"/>
    <xf numFmtId="0" fontId="42" fillId="3" borderId="29" xfId="0" applyFont="1" applyFill="1" applyBorder="1"/>
    <xf numFmtId="0" fontId="42" fillId="3" borderId="11" xfId="0" applyFont="1" applyFill="1" applyBorder="1"/>
    <xf numFmtId="43" fontId="39" fillId="4" borderId="12" xfId="1" applyFont="1" applyFill="1" applyBorder="1"/>
    <xf numFmtId="0" fontId="13" fillId="5" borderId="0" xfId="0" applyFont="1" applyFill="1" applyBorder="1" applyAlignment="1">
      <alignment horizontal="left" vertical="center"/>
    </xf>
    <xf numFmtId="43" fontId="0" fillId="0" borderId="0" xfId="0" applyNumberFormat="1"/>
    <xf numFmtId="43" fontId="22" fillId="3" borderId="1" xfId="0" applyNumberFormat="1" applyFont="1" applyFill="1" applyBorder="1"/>
    <xf numFmtId="0" fontId="43" fillId="0" borderId="9" xfId="0" applyFont="1" applyBorder="1" applyAlignment="1">
      <alignment vertical="center" wrapText="1"/>
    </xf>
    <xf numFmtId="10" fontId="0" fillId="0" borderId="0" xfId="2" applyNumberFormat="1" applyFont="1"/>
    <xf numFmtId="1" fontId="0" fillId="6" borderId="10" xfId="0" applyNumberFormat="1" applyFill="1" applyBorder="1"/>
    <xf numFmtId="0" fontId="15" fillId="2" borderId="58" xfId="0" applyFont="1" applyFill="1" applyBorder="1"/>
    <xf numFmtId="10" fontId="39" fillId="0" borderId="1" xfId="2" applyNumberFormat="1" applyFont="1" applyBorder="1"/>
    <xf numFmtId="0" fontId="0" fillId="0" borderId="0" xfId="0" applyAlignment="1">
      <alignment wrapText="1"/>
    </xf>
    <xf numFmtId="1" fontId="0" fillId="0" borderId="0" xfId="0" applyNumberFormat="1"/>
    <xf numFmtId="1" fontId="17" fillId="0" borderId="1" xfId="0" applyNumberFormat="1" applyFont="1" applyBorder="1" applyAlignment="1">
      <alignment horizontal="center"/>
    </xf>
    <xf numFmtId="0" fontId="0" fillId="7" borderId="1" xfId="0" applyFill="1" applyBorder="1"/>
    <xf numFmtId="0" fontId="0" fillId="7" borderId="1" xfId="0" applyFill="1" applyBorder="1" applyAlignment="1">
      <alignment horizontal="center" wrapText="1"/>
    </xf>
    <xf numFmtId="0" fontId="15" fillId="2" borderId="58" xfId="0" applyFont="1" applyFill="1" applyBorder="1" applyAlignment="1">
      <alignment horizontal="center" vertical="center"/>
    </xf>
    <xf numFmtId="0" fontId="15" fillId="2" borderId="40" xfId="0" applyFont="1" applyFill="1" applyBorder="1" applyAlignment="1">
      <alignment horizontal="center" vertical="center"/>
    </xf>
    <xf numFmtId="0" fontId="15" fillId="2" borderId="40" xfId="0" applyFont="1" applyFill="1" applyBorder="1" applyAlignment="1">
      <alignment horizontal="center" vertical="center" wrapText="1"/>
    </xf>
    <xf numFmtId="0" fontId="15" fillId="2" borderId="48" xfId="0" applyFont="1" applyFill="1" applyBorder="1" applyAlignment="1">
      <alignment horizontal="center" vertical="center"/>
    </xf>
    <xf numFmtId="10" fontId="39" fillId="4" borderId="12" xfId="1" applyNumberFormat="1" applyFont="1" applyFill="1" applyBorder="1"/>
    <xf numFmtId="0" fontId="44" fillId="0" borderId="3" xfId="0" applyFont="1" applyBorder="1" applyAlignment="1">
      <alignment vertical="center" wrapText="1"/>
    </xf>
    <xf numFmtId="0" fontId="44" fillId="0" borderId="27" xfId="0" applyFont="1" applyBorder="1" applyAlignment="1">
      <alignment vertical="center" wrapText="1"/>
    </xf>
    <xf numFmtId="0" fontId="44" fillId="0" borderId="59" xfId="0" applyFont="1" applyBorder="1" applyAlignment="1">
      <alignment vertical="center" wrapText="1"/>
    </xf>
    <xf numFmtId="0" fontId="44" fillId="0" borderId="25" xfId="0" applyFont="1" applyBorder="1" applyAlignment="1">
      <alignment vertical="center" wrapText="1"/>
    </xf>
    <xf numFmtId="0" fontId="45" fillId="0" borderId="1" xfId="0" applyFont="1" applyBorder="1"/>
    <xf numFmtId="1" fontId="17" fillId="0" borderId="12" xfId="0" applyNumberFormat="1" applyFont="1" applyBorder="1" applyAlignment="1">
      <alignment horizontal="center"/>
    </xf>
    <xf numFmtId="0" fontId="27" fillId="0" borderId="29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44" fillId="0" borderId="27" xfId="0" applyFont="1" applyBorder="1" applyAlignment="1">
      <alignment horizontal="center" vertical="center" wrapText="1"/>
    </xf>
    <xf numFmtId="10" fontId="0" fillId="0" borderId="0" xfId="0" applyNumberFormat="1"/>
    <xf numFmtId="0" fontId="27" fillId="0" borderId="11" xfId="0" applyFont="1" applyBorder="1" applyAlignment="1">
      <alignment horizontal="center"/>
    </xf>
    <xf numFmtId="164" fontId="22" fillId="0" borderId="12" xfId="1" applyNumberFormat="1" applyFont="1" applyBorder="1"/>
    <xf numFmtId="164" fontId="22" fillId="0" borderId="13" xfId="1" applyNumberFormat="1" applyFont="1" applyBorder="1"/>
    <xf numFmtId="0" fontId="27" fillId="0" borderId="30" xfId="0" applyFont="1" applyBorder="1" applyAlignment="1">
      <alignment horizontal="center"/>
    </xf>
    <xf numFmtId="43" fontId="22" fillId="0" borderId="30" xfId="0" applyNumberFormat="1" applyFont="1" applyBorder="1"/>
    <xf numFmtId="4" fontId="44" fillId="0" borderId="25" xfId="0" applyNumberFormat="1" applyFont="1" applyBorder="1" applyAlignment="1">
      <alignment horizontal="right" wrapText="1"/>
    </xf>
    <xf numFmtId="0" fontId="44" fillId="0" borderId="0" xfId="0" applyFont="1" applyBorder="1" applyAlignment="1">
      <alignment vertical="center" wrapText="1"/>
    </xf>
    <xf numFmtId="4" fontId="44" fillId="0" borderId="0" xfId="0" applyNumberFormat="1" applyFont="1" applyBorder="1" applyAlignment="1">
      <alignment horizontal="right" wrapText="1"/>
    </xf>
    <xf numFmtId="0" fontId="44" fillId="0" borderId="0" xfId="0" applyFont="1" applyBorder="1" applyAlignment="1">
      <alignment horizontal="right" wrapText="1"/>
    </xf>
    <xf numFmtId="0" fontId="37" fillId="7" borderId="0" xfId="0" applyFont="1" applyFill="1"/>
    <xf numFmtId="4" fontId="51" fillId="7" borderId="3" xfId="0" applyNumberFormat="1" applyFont="1" applyFill="1" applyBorder="1" applyAlignment="1">
      <alignment wrapText="1"/>
    </xf>
    <xf numFmtId="4" fontId="0" fillId="0" borderId="1" xfId="0" applyNumberFormat="1" applyBorder="1" applyAlignment="1">
      <alignment horizontal="right"/>
    </xf>
    <xf numFmtId="4" fontId="14" fillId="0" borderId="1" xfId="0" applyNumberFormat="1" applyFont="1" applyBorder="1"/>
    <xf numFmtId="0" fontId="0" fillId="0" borderId="3" xfId="0" applyBorder="1"/>
    <xf numFmtId="4" fontId="40" fillId="7" borderId="0" xfId="0" applyNumberFormat="1" applyFont="1" applyFill="1"/>
    <xf numFmtId="0" fontId="34" fillId="0" borderId="0" xfId="0" applyFont="1"/>
    <xf numFmtId="0" fontId="40" fillId="7" borderId="0" xfId="0" applyFont="1" applyFill="1" applyAlignment="1">
      <alignment horizontal="right"/>
    </xf>
    <xf numFmtId="0" fontId="40" fillId="7" borderId="59" xfId="0" applyFont="1" applyFill="1" applyBorder="1" applyAlignment="1">
      <alignment horizontal="right"/>
    </xf>
    <xf numFmtId="0" fontId="49" fillId="0" borderId="59" xfId="0" applyFont="1" applyBorder="1" applyAlignment="1">
      <alignment horizontal="center"/>
    </xf>
    <xf numFmtId="10" fontId="30" fillId="5" borderId="44" xfId="0" applyNumberFormat="1" applyFont="1" applyFill="1" applyBorder="1" applyAlignment="1">
      <alignment wrapText="1"/>
    </xf>
    <xf numFmtId="0" fontId="30" fillId="5" borderId="45" xfId="0" applyNumberFormat="1" applyFont="1" applyFill="1" applyBorder="1" applyAlignment="1">
      <alignment wrapText="1"/>
    </xf>
    <xf numFmtId="4" fontId="53" fillId="7" borderId="27" xfId="0" applyNumberFormat="1" applyFont="1" applyFill="1" applyBorder="1" applyAlignment="1">
      <alignment horizontal="right" wrapText="1"/>
    </xf>
    <xf numFmtId="4" fontId="53" fillId="7" borderId="3" xfId="0" applyNumberFormat="1" applyFont="1" applyFill="1" applyBorder="1" applyAlignment="1">
      <alignment horizontal="right" wrapText="1"/>
    </xf>
    <xf numFmtId="43" fontId="54" fillId="7" borderId="59" xfId="0" applyNumberFormat="1" applyFont="1" applyFill="1" applyBorder="1"/>
    <xf numFmtId="4" fontId="54" fillId="7" borderId="59" xfId="0" applyNumberFormat="1" applyFont="1" applyFill="1" applyBorder="1"/>
    <xf numFmtId="0" fontId="55" fillId="7" borderId="0" xfId="0" applyFont="1" applyFill="1"/>
    <xf numFmtId="0" fontId="55" fillId="7" borderId="0" xfId="0" applyFont="1" applyFill="1" applyAlignment="1">
      <alignment vertical="center"/>
    </xf>
    <xf numFmtId="0" fontId="0" fillId="7" borderId="0" xfId="0" applyFill="1" applyAlignment="1">
      <alignment vertical="center"/>
    </xf>
    <xf numFmtId="43" fontId="40" fillId="7" borderId="0" xfId="0" applyNumberFormat="1" applyFont="1" applyFill="1"/>
    <xf numFmtId="0" fontId="18" fillId="2" borderId="0" xfId="0" applyFont="1" applyFill="1" applyBorder="1" applyAlignment="1">
      <alignment horizontal="center" vertical="center" wrapText="1"/>
    </xf>
    <xf numFmtId="43" fontId="57" fillId="7" borderId="59" xfId="0" applyNumberFormat="1" applyFont="1" applyFill="1" applyBorder="1"/>
    <xf numFmtId="4" fontId="44" fillId="0" borderId="24" xfId="0" applyNumberFormat="1" applyFont="1" applyBorder="1" applyAlignment="1">
      <alignment horizontal="right" wrapText="1"/>
    </xf>
    <xf numFmtId="4" fontId="57" fillId="7" borderId="23" xfId="0" applyNumberFormat="1" applyFont="1" applyFill="1" applyBorder="1"/>
    <xf numFmtId="0" fontId="0" fillId="7" borderId="3" xfId="0" applyFill="1" applyBorder="1"/>
    <xf numFmtId="43" fontId="57" fillId="7" borderId="59" xfId="0" applyNumberFormat="1" applyFont="1" applyFill="1" applyBorder="1" applyAlignment="1">
      <alignment horizontal="right"/>
    </xf>
    <xf numFmtId="4" fontId="57" fillId="7" borderId="23" xfId="0" quotePrefix="1" applyNumberFormat="1" applyFont="1" applyFill="1" applyBorder="1" applyAlignment="1">
      <alignment horizontal="right"/>
    </xf>
    <xf numFmtId="0" fontId="50" fillId="0" borderId="0" xfId="0" applyFont="1" applyBorder="1" applyAlignment="1">
      <alignment horizontal="center" vertical="center" wrapText="1"/>
    </xf>
    <xf numFmtId="4" fontId="53" fillId="7" borderId="0" xfId="0" applyNumberFormat="1" applyFont="1" applyFill="1" applyBorder="1" applyAlignment="1">
      <alignment horizontal="right" wrapText="1"/>
    </xf>
    <xf numFmtId="0" fontId="0" fillId="7" borderId="0" xfId="0" applyFill="1" applyBorder="1"/>
    <xf numFmtId="0" fontId="0" fillId="0" borderId="0" xfId="0" quotePrefix="1"/>
    <xf numFmtId="2" fontId="0" fillId="2" borderId="15" xfId="0" applyNumberFormat="1" applyFill="1" applyBorder="1"/>
    <xf numFmtId="4" fontId="0" fillId="0" borderId="0" xfId="0" quotePrefix="1" applyNumberFormat="1"/>
    <xf numFmtId="4" fontId="50" fillId="7" borderId="27" xfId="0" applyNumberFormat="1" applyFont="1" applyFill="1" applyBorder="1" applyAlignment="1">
      <alignment horizontal="left" wrapText="1"/>
    </xf>
    <xf numFmtId="4" fontId="44" fillId="0" borderId="25" xfId="0" quotePrefix="1" applyNumberFormat="1" applyFont="1" applyBorder="1" applyAlignment="1">
      <alignment horizontal="right" wrapText="1"/>
    </xf>
    <xf numFmtId="4" fontId="44" fillId="0" borderId="24" xfId="0" quotePrefix="1" applyNumberFormat="1" applyFont="1" applyBorder="1" applyAlignment="1">
      <alignment horizontal="right" wrapText="1"/>
    </xf>
    <xf numFmtId="43" fontId="44" fillId="0" borderId="25" xfId="0" applyNumberFormat="1" applyFont="1" applyBorder="1" applyAlignment="1">
      <alignment horizontal="right" wrapText="1"/>
    </xf>
    <xf numFmtId="0" fontId="40" fillId="7" borderId="0" xfId="0" applyFont="1" applyFill="1" applyAlignment="1">
      <alignment wrapText="1"/>
    </xf>
    <xf numFmtId="0" fontId="37" fillId="7" borderId="14" xfId="0" applyFont="1" applyFill="1" applyBorder="1" applyAlignment="1">
      <alignment wrapText="1"/>
    </xf>
    <xf numFmtId="0" fontId="37" fillId="7" borderId="15" xfId="0" applyFont="1" applyFill="1" applyBorder="1" applyAlignment="1">
      <alignment wrapText="1"/>
    </xf>
    <xf numFmtId="4" fontId="37" fillId="7" borderId="16" xfId="0" applyNumberFormat="1" applyFont="1" applyFill="1" applyBorder="1" applyAlignment="1">
      <alignment wrapText="1"/>
    </xf>
    <xf numFmtId="0" fontId="37" fillId="7" borderId="72" xfId="0" applyFont="1" applyFill="1" applyBorder="1"/>
    <xf numFmtId="0" fontId="37" fillId="7" borderId="38" xfId="0" applyFont="1" applyFill="1" applyBorder="1"/>
    <xf numFmtId="0" fontId="40" fillId="7" borderId="2" xfId="0" applyFont="1" applyFill="1" applyBorder="1"/>
    <xf numFmtId="4" fontId="40" fillId="7" borderId="38" xfId="0" applyNumberFormat="1" applyFont="1" applyFill="1" applyBorder="1"/>
    <xf numFmtId="0" fontId="37" fillId="7" borderId="57" xfId="0" applyFont="1" applyFill="1" applyBorder="1"/>
    <xf numFmtId="0" fontId="37" fillId="7" borderId="43" xfId="0" applyFont="1" applyFill="1" applyBorder="1"/>
    <xf numFmtId="0" fontId="37" fillId="7" borderId="4" xfId="0" applyFont="1" applyFill="1" applyBorder="1" applyAlignment="1">
      <alignment horizontal="right" vertical="top"/>
    </xf>
    <xf numFmtId="0" fontId="40" fillId="7" borderId="46" xfId="0" applyFont="1" applyFill="1" applyBorder="1" applyAlignment="1">
      <alignment horizontal="right"/>
    </xf>
    <xf numFmtId="0" fontId="37" fillId="7" borderId="4" xfId="0" applyFont="1" applyFill="1" applyBorder="1"/>
    <xf numFmtId="0" fontId="0" fillId="7" borderId="43" xfId="0" applyFill="1" applyBorder="1"/>
    <xf numFmtId="0" fontId="37" fillId="7" borderId="30" xfId="0" applyFont="1" applyFill="1" applyBorder="1" applyAlignment="1">
      <alignment horizontal="right" vertical="top"/>
    </xf>
    <xf numFmtId="0" fontId="40" fillId="7" borderId="30" xfId="0" applyFont="1" applyFill="1" applyBorder="1" applyAlignment="1">
      <alignment horizontal="right"/>
    </xf>
    <xf numFmtId="4" fontId="40" fillId="7" borderId="30" xfId="0" applyNumberFormat="1" applyFont="1" applyFill="1" applyBorder="1"/>
    <xf numFmtId="0" fontId="40" fillId="7" borderId="4" xfId="0" applyFont="1" applyFill="1" applyBorder="1" applyAlignment="1">
      <alignment horizontal="right"/>
    </xf>
    <xf numFmtId="0" fontId="15" fillId="3" borderId="3" xfId="0" applyFont="1" applyFill="1" applyBorder="1" applyAlignment="1">
      <alignment horizontal="center" wrapText="1"/>
    </xf>
    <xf numFmtId="0" fontId="42" fillId="4" borderId="8" xfId="0" applyFont="1" applyFill="1" applyBorder="1" applyAlignment="1">
      <alignment horizontal="center" wrapText="1"/>
    </xf>
    <xf numFmtId="43" fontId="41" fillId="0" borderId="0" xfId="0" applyNumberFormat="1" applyFont="1"/>
    <xf numFmtId="4" fontId="39" fillId="0" borderId="1" xfId="0" applyNumberFormat="1" applyFont="1" applyBorder="1" applyAlignment="1">
      <alignment horizontal="right" vertical="center"/>
    </xf>
    <xf numFmtId="4" fontId="39" fillId="0" borderId="10" xfId="0" applyNumberFormat="1" applyFont="1" applyBorder="1" applyAlignment="1">
      <alignment horizontal="right" vertical="center"/>
    </xf>
    <xf numFmtId="4" fontId="39" fillId="0" borderId="30" xfId="0" applyNumberFormat="1" applyFont="1" applyBorder="1" applyAlignment="1">
      <alignment horizontal="right" vertical="center"/>
    </xf>
    <xf numFmtId="4" fontId="39" fillId="0" borderId="31" xfId="0" applyNumberFormat="1" applyFont="1" applyBorder="1" applyAlignment="1">
      <alignment horizontal="right" vertical="center"/>
    </xf>
    <xf numFmtId="4" fontId="39" fillId="0" borderId="30" xfId="0" applyNumberFormat="1" applyFont="1" applyFill="1" applyBorder="1" applyAlignment="1">
      <alignment horizontal="right" vertical="center"/>
    </xf>
    <xf numFmtId="4" fontId="39" fillId="0" borderId="31" xfId="0" applyNumberFormat="1" applyFont="1" applyFill="1" applyBorder="1" applyAlignment="1">
      <alignment horizontal="right" vertical="center"/>
    </xf>
    <xf numFmtId="0" fontId="23" fillId="3" borderId="1" xfId="0" applyFont="1" applyFill="1" applyBorder="1" applyAlignment="1">
      <alignment horizontal="center" wrapText="1"/>
    </xf>
    <xf numFmtId="0" fontId="23" fillId="4" borderId="1" xfId="0" applyFont="1" applyFill="1" applyBorder="1"/>
    <xf numFmtId="0" fontId="23" fillId="3" borderId="6" xfId="0" applyFont="1" applyFill="1" applyBorder="1" applyAlignment="1">
      <alignment horizontal="center"/>
    </xf>
    <xf numFmtId="0" fontId="23" fillId="3" borderId="7" xfId="0" applyFont="1" applyFill="1" applyBorder="1" applyAlignment="1">
      <alignment horizontal="center"/>
    </xf>
    <xf numFmtId="0" fontId="23" fillId="3" borderId="7" xfId="0" applyFont="1" applyFill="1" applyBorder="1" applyAlignment="1">
      <alignment horizontal="center" wrapText="1"/>
    </xf>
    <xf numFmtId="0" fontId="23" fillId="3" borderId="8" xfId="0" applyFont="1" applyFill="1" applyBorder="1" applyAlignment="1">
      <alignment horizontal="center" wrapText="1"/>
    </xf>
    <xf numFmtId="0" fontId="23" fillId="4" borderId="11" xfId="0" applyFont="1" applyFill="1" applyBorder="1"/>
    <xf numFmtId="43" fontId="22" fillId="5" borderId="12" xfId="0" applyNumberFormat="1" applyFont="1" applyFill="1" applyBorder="1"/>
    <xf numFmtId="43" fontId="22" fillId="5" borderId="13" xfId="0" applyNumberFormat="1" applyFont="1" applyFill="1" applyBorder="1"/>
    <xf numFmtId="43" fontId="22" fillId="3" borderId="10" xfId="0" applyNumberFormat="1" applyFont="1" applyFill="1" applyBorder="1"/>
    <xf numFmtId="0" fontId="23" fillId="5" borderId="11" xfId="0" applyFont="1" applyFill="1" applyBorder="1"/>
    <xf numFmtId="0" fontId="22" fillId="0" borderId="12" xfId="0" applyFont="1" applyBorder="1"/>
    <xf numFmtId="1" fontId="22" fillId="0" borderId="12" xfId="0" applyNumberFormat="1" applyFont="1" applyBorder="1"/>
    <xf numFmtId="1" fontId="22" fillId="0" borderId="13" xfId="0" applyNumberFormat="1" applyFont="1" applyBorder="1"/>
    <xf numFmtId="0" fontId="58" fillId="4" borderId="6" xfId="0" applyFont="1" applyFill="1" applyBorder="1" applyAlignment="1">
      <alignment horizontal="center" vertical="center" wrapText="1"/>
    </xf>
    <xf numFmtId="0" fontId="58" fillId="4" borderId="7" xfId="0" applyFont="1" applyFill="1" applyBorder="1" applyAlignment="1">
      <alignment horizontal="center" vertical="center" wrapText="1"/>
    </xf>
    <xf numFmtId="0" fontId="58" fillId="4" borderId="8" xfId="0" applyFont="1" applyFill="1" applyBorder="1" applyAlignment="1">
      <alignment horizontal="center" vertical="center" wrapText="1"/>
    </xf>
    <xf numFmtId="0" fontId="45" fillId="0" borderId="0" xfId="0" applyFont="1"/>
    <xf numFmtId="0" fontId="43" fillId="4" borderId="9" xfId="0" applyFont="1" applyFill="1" applyBorder="1" applyAlignment="1">
      <alignment wrapText="1"/>
    </xf>
    <xf numFmtId="10" fontId="45" fillId="6" borderId="1" xfId="0" applyNumberFormat="1" applyFont="1" applyFill="1" applyBorder="1"/>
    <xf numFmtId="43" fontId="45" fillId="0" borderId="1" xfId="0" applyNumberFormat="1" applyFont="1" applyFill="1" applyBorder="1"/>
    <xf numFmtId="43" fontId="45" fillId="0" borderId="10" xfId="0" applyNumberFormat="1" applyFont="1" applyBorder="1"/>
    <xf numFmtId="0" fontId="43" fillId="4" borderId="9" xfId="0" applyFont="1" applyFill="1" applyBorder="1" applyAlignment="1">
      <alignment vertical="center" wrapText="1"/>
    </xf>
    <xf numFmtId="43" fontId="45" fillId="6" borderId="1" xfId="0" applyNumberFormat="1" applyFont="1" applyFill="1" applyBorder="1"/>
    <xf numFmtId="43" fontId="45" fillId="6" borderId="30" xfId="0" applyNumberFormat="1" applyFont="1" applyFill="1" applyBorder="1"/>
    <xf numFmtId="0" fontId="43" fillId="4" borderId="54" xfId="0" applyFont="1" applyFill="1" applyBorder="1" applyAlignment="1">
      <alignment horizontal="center"/>
    </xf>
    <xf numFmtId="10" fontId="45" fillId="4" borderId="3" xfId="0" applyNumberFormat="1" applyFont="1" applyFill="1" applyBorder="1"/>
    <xf numFmtId="43" fontId="45" fillId="4" borderId="3" xfId="0" applyNumberFormat="1" applyFont="1" applyFill="1" applyBorder="1"/>
    <xf numFmtId="0" fontId="45" fillId="4" borderId="3" xfId="0" applyFont="1" applyFill="1" applyBorder="1" applyAlignment="1">
      <alignment wrapText="1"/>
    </xf>
    <xf numFmtId="2" fontId="45" fillId="4" borderId="27" xfId="0" applyNumberFormat="1" applyFont="1" applyFill="1" applyBorder="1"/>
    <xf numFmtId="43" fontId="45" fillId="0" borderId="30" xfId="1" applyFont="1" applyFill="1" applyBorder="1"/>
    <xf numFmtId="2" fontId="45" fillId="0" borderId="31" xfId="0" applyNumberFormat="1" applyFont="1" applyBorder="1"/>
    <xf numFmtId="43" fontId="45" fillId="0" borderId="0" xfId="0" applyNumberFormat="1" applyFont="1"/>
    <xf numFmtId="9" fontId="45" fillId="4" borderId="3" xfId="0" applyNumberFormat="1" applyFont="1" applyFill="1" applyBorder="1"/>
    <xf numFmtId="0" fontId="61" fillId="3" borderId="55" xfId="0" applyFont="1" applyFill="1" applyBorder="1"/>
    <xf numFmtId="0" fontId="43" fillId="3" borderId="5" xfId="0" applyFont="1" applyFill="1" applyBorder="1" applyAlignment="1">
      <alignment horizontal="center" vertical="center" wrapText="1"/>
    </xf>
    <xf numFmtId="0" fontId="43" fillId="3" borderId="20" xfId="0" applyFont="1" applyFill="1" applyBorder="1" applyAlignment="1">
      <alignment horizontal="center" vertical="center" wrapText="1"/>
    </xf>
    <xf numFmtId="0" fontId="43" fillId="3" borderId="6" xfId="0" applyFont="1" applyFill="1" applyBorder="1"/>
    <xf numFmtId="0" fontId="43" fillId="3" borderId="9" xfId="0" applyFont="1" applyFill="1" applyBorder="1"/>
    <xf numFmtId="0" fontId="43" fillId="3" borderId="11" xfId="0" applyFont="1" applyFill="1" applyBorder="1"/>
    <xf numFmtId="0" fontId="21" fillId="2" borderId="27" xfId="0" applyFont="1" applyFill="1" applyBorder="1" applyAlignment="1"/>
    <xf numFmtId="0" fontId="62" fillId="2" borderId="8" xfId="0" applyFont="1" applyFill="1" applyBorder="1" applyAlignment="1">
      <alignment horizontal="center" vertical="center" wrapText="1"/>
    </xf>
    <xf numFmtId="2" fontId="45" fillId="3" borderId="13" xfId="0" applyNumberFormat="1" applyFont="1" applyFill="1" applyBorder="1" applyAlignment="1">
      <alignment horizontal="center"/>
    </xf>
    <xf numFmtId="0" fontId="64" fillId="0" borderId="0" xfId="0" applyFont="1"/>
    <xf numFmtId="0" fontId="62" fillId="2" borderId="7" xfId="0" applyFont="1" applyFill="1" applyBorder="1" applyAlignment="1">
      <alignment horizontal="center" vertical="center" wrapText="1"/>
    </xf>
    <xf numFmtId="0" fontId="62" fillId="2" borderId="6" xfId="0" applyFont="1" applyFill="1" applyBorder="1" applyAlignment="1">
      <alignment horizontal="center" vertical="center" wrapText="1"/>
    </xf>
    <xf numFmtId="0" fontId="45" fillId="0" borderId="9" xfId="0" applyFont="1" applyBorder="1"/>
    <xf numFmtId="0" fontId="64" fillId="0" borderId="1" xfId="0" quotePrefix="1" applyFont="1" applyBorder="1" applyAlignment="1">
      <alignment horizontal="center"/>
    </xf>
    <xf numFmtId="0" fontId="45" fillId="0" borderId="29" xfId="0" applyFont="1" applyBorder="1"/>
    <xf numFmtId="0" fontId="64" fillId="0" borderId="30" xfId="0" applyFont="1" applyBorder="1" applyAlignment="1">
      <alignment horizontal="center"/>
    </xf>
    <xf numFmtId="1" fontId="64" fillId="0" borderId="1" xfId="0" applyNumberFormat="1" applyFont="1" applyBorder="1" applyAlignment="1">
      <alignment horizontal="center"/>
    </xf>
    <xf numFmtId="0" fontId="45" fillId="0" borderId="11" xfId="0" applyFont="1" applyBorder="1"/>
    <xf numFmtId="0" fontId="64" fillId="0" borderId="12" xfId="0" quotePrefix="1" applyFont="1" applyBorder="1" applyAlignment="1">
      <alignment horizontal="center"/>
    </xf>
    <xf numFmtId="0" fontId="65" fillId="2" borderId="17" xfId="0" applyFont="1" applyFill="1" applyBorder="1"/>
    <xf numFmtId="2" fontId="65" fillId="2" borderId="18" xfId="0" applyNumberFormat="1" applyFont="1" applyFill="1" applyBorder="1"/>
    <xf numFmtId="0" fontId="65" fillId="2" borderId="18" xfId="0" applyFont="1" applyFill="1" applyBorder="1"/>
    <xf numFmtId="2" fontId="65" fillId="2" borderId="19" xfId="0" applyNumberFormat="1" applyFont="1" applyFill="1" applyBorder="1"/>
    <xf numFmtId="0" fontId="62" fillId="3" borderId="6" xfId="0" applyFont="1" applyFill="1" applyBorder="1" applyAlignment="1">
      <alignment horizontal="center" vertical="center"/>
    </xf>
    <xf numFmtId="0" fontId="62" fillId="3" borderId="7" xfId="0" applyFont="1" applyFill="1" applyBorder="1" applyAlignment="1">
      <alignment horizontal="center" vertical="center" wrapText="1"/>
    </xf>
    <xf numFmtId="0" fontId="62" fillId="3" borderId="8" xfId="0" applyFont="1" applyFill="1" applyBorder="1" applyAlignment="1">
      <alignment horizontal="center" vertical="center"/>
    </xf>
    <xf numFmtId="2" fontId="45" fillId="0" borderId="1" xfId="0" applyNumberFormat="1" applyFont="1" applyBorder="1"/>
    <xf numFmtId="2" fontId="45" fillId="0" borderId="10" xfId="0" applyNumberFormat="1" applyFont="1" applyBorder="1"/>
    <xf numFmtId="2" fontId="45" fillId="0" borderId="12" xfId="0" applyNumberFormat="1" applyFont="1" applyBorder="1"/>
    <xf numFmtId="2" fontId="45" fillId="0" borderId="13" xfId="0" applyNumberFormat="1" applyFont="1" applyBorder="1"/>
    <xf numFmtId="0" fontId="45" fillId="0" borderId="0" xfId="0" applyFont="1" applyBorder="1"/>
    <xf numFmtId="4" fontId="0" fillId="0" borderId="0" xfId="0" applyNumberFormat="1"/>
    <xf numFmtId="0" fontId="0" fillId="0" borderId="0" xfId="0" applyAlignment="1">
      <alignment horizontal="center"/>
    </xf>
    <xf numFmtId="0" fontId="17" fillId="0" borderId="0" xfId="0" applyFont="1" applyFill="1" applyBorder="1"/>
    <xf numFmtId="0" fontId="18" fillId="0" borderId="0" xfId="0" applyFont="1" applyFill="1" applyBorder="1" applyAlignment="1">
      <alignment horizontal="center" vertical="center" wrapText="1"/>
    </xf>
    <xf numFmtId="0" fontId="62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7" fillId="0" borderId="0" xfId="0" quotePrefix="1" applyFont="1" applyFill="1" applyBorder="1" applyAlignment="1">
      <alignment horizontal="center"/>
    </xf>
    <xf numFmtId="2" fontId="17" fillId="0" borderId="0" xfId="0" quotePrefix="1" applyNumberFormat="1" applyFont="1" applyFill="1" applyBorder="1" applyAlignment="1">
      <alignment horizontal="center"/>
    </xf>
    <xf numFmtId="0" fontId="64" fillId="0" borderId="0" xfId="0" applyFont="1" applyFill="1" applyBorder="1" applyAlignment="1">
      <alignment horizontal="center"/>
    </xf>
    <xf numFmtId="2" fontId="64" fillId="0" borderId="0" xfId="0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43" fontId="17" fillId="0" borderId="0" xfId="1" applyNumberFormat="1" applyFont="1" applyFill="1" applyBorder="1" applyAlignment="1">
      <alignment horizontal="center"/>
    </xf>
    <xf numFmtId="1" fontId="17" fillId="0" borderId="0" xfId="0" applyNumberFormat="1" applyFont="1" applyFill="1" applyBorder="1" applyAlignment="1">
      <alignment horizontal="center"/>
    </xf>
    <xf numFmtId="0" fontId="14" fillId="0" borderId="0" xfId="0" applyFont="1" applyFill="1" applyBorder="1"/>
    <xf numFmtId="2" fontId="14" fillId="0" borderId="0" xfId="0" applyNumberFormat="1" applyFont="1" applyFill="1" applyBorder="1" applyAlignment="1">
      <alignment horizontal="center"/>
    </xf>
    <xf numFmtId="2" fontId="65" fillId="0" borderId="0" xfId="0" applyNumberFormat="1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/>
    <xf numFmtId="10" fontId="22" fillId="0" borderId="0" xfId="0" applyNumberFormat="1" applyFont="1" applyFill="1" applyBorder="1"/>
    <xf numFmtId="43" fontId="0" fillId="0" borderId="0" xfId="0" applyNumberFormat="1" applyFill="1" applyBorder="1"/>
    <xf numFmtId="0" fontId="23" fillId="0" borderId="0" xfId="0" applyFont="1" applyFill="1" applyBorder="1" applyAlignment="1">
      <alignment wrapText="1"/>
    </xf>
    <xf numFmtId="43" fontId="45" fillId="0" borderId="0" xfId="0" applyNumberFormat="1" applyFont="1" applyFill="1" applyBorder="1"/>
    <xf numFmtId="0" fontId="58" fillId="0" borderId="0" xfId="0" applyFont="1" applyFill="1" applyBorder="1" applyAlignment="1">
      <alignment horizontal="center" vertical="center" wrapText="1"/>
    </xf>
    <xf numFmtId="0" fontId="43" fillId="0" borderId="0" xfId="0" applyFont="1" applyFill="1" applyBorder="1" applyAlignment="1">
      <alignment wrapText="1"/>
    </xf>
    <xf numFmtId="10" fontId="45" fillId="0" borderId="0" xfId="0" applyNumberFormat="1" applyFont="1" applyFill="1" applyBorder="1"/>
    <xf numFmtId="0" fontId="45" fillId="0" borderId="0" xfId="0" applyFont="1" applyFill="1" applyBorder="1"/>
    <xf numFmtId="0" fontId="43" fillId="0" borderId="0" xfId="0" applyFont="1" applyFill="1" applyBorder="1" applyAlignment="1">
      <alignment vertical="center" wrapText="1"/>
    </xf>
    <xf numFmtId="0" fontId="43" fillId="0" borderId="0" xfId="0" applyFont="1" applyFill="1" applyBorder="1" applyAlignment="1">
      <alignment horizontal="center"/>
    </xf>
    <xf numFmtId="0" fontId="45" fillId="0" borderId="0" xfId="0" applyFont="1" applyFill="1" applyBorder="1" applyAlignment="1">
      <alignment wrapText="1"/>
    </xf>
    <xf numFmtId="2" fontId="45" fillId="0" borderId="0" xfId="0" applyNumberFormat="1" applyFont="1" applyFill="1" applyBorder="1"/>
    <xf numFmtId="0" fontId="60" fillId="2" borderId="0" xfId="0" applyFont="1" applyFill="1" applyBorder="1" applyAlignment="1"/>
    <xf numFmtId="0" fontId="0" fillId="4" borderId="0" xfId="0" applyFill="1"/>
    <xf numFmtId="2" fontId="64" fillId="0" borderId="1" xfId="0" quotePrefix="1" applyNumberFormat="1" applyFont="1" applyBorder="1" applyAlignment="1">
      <alignment horizontal="right" vertical="top"/>
    </xf>
    <xf numFmtId="166" fontId="64" fillId="0" borderId="1" xfId="1" applyNumberFormat="1" applyFont="1" applyBorder="1" applyAlignment="1">
      <alignment horizontal="right" vertical="top"/>
    </xf>
    <xf numFmtId="2" fontId="64" fillId="0" borderId="12" xfId="0" quotePrefix="1" applyNumberFormat="1" applyFont="1" applyBorder="1" applyAlignment="1">
      <alignment horizontal="right" vertical="top"/>
    </xf>
    <xf numFmtId="4" fontId="17" fillId="0" borderId="1" xfId="0" applyNumberFormat="1" applyFont="1" applyBorder="1" applyAlignment="1">
      <alignment horizontal="right"/>
    </xf>
    <xf numFmtId="0" fontId="64" fillId="0" borderId="1" xfId="0" applyFont="1" applyBorder="1" applyAlignment="1">
      <alignment horizontal="right"/>
    </xf>
    <xf numFmtId="2" fontId="64" fillId="0" borderId="10" xfId="0" applyNumberFormat="1" applyFont="1" applyBorder="1" applyAlignment="1">
      <alignment horizontal="right"/>
    </xf>
    <xf numFmtId="0" fontId="61" fillId="0" borderId="0" xfId="4" applyFont="1"/>
    <xf numFmtId="0" fontId="58" fillId="0" borderId="0" xfId="4" applyFont="1"/>
    <xf numFmtId="0" fontId="67" fillId="0" borderId="0" xfId="0" applyFont="1"/>
    <xf numFmtId="0" fontId="67" fillId="0" borderId="0" xfId="0" applyFont="1" applyAlignment="1">
      <alignment horizontal="center"/>
    </xf>
    <xf numFmtId="0" fontId="67" fillId="0" borderId="0" xfId="0" applyFont="1" applyAlignment="1">
      <alignment horizontal="left"/>
    </xf>
    <xf numFmtId="0" fontId="14" fillId="4" borderId="0" xfId="0" applyFont="1" applyFill="1"/>
    <xf numFmtId="0" fontId="69" fillId="0" borderId="0" xfId="0" applyFont="1"/>
    <xf numFmtId="0" fontId="69" fillId="0" borderId="0" xfId="0" applyFont="1" applyAlignment="1">
      <alignment horizontal="center"/>
    </xf>
    <xf numFmtId="0" fontId="68" fillId="0" borderId="1" xfId="0" applyFont="1" applyBorder="1" applyAlignment="1">
      <alignment horizontal="center" vertical="top" wrapText="1"/>
    </xf>
    <xf numFmtId="0" fontId="69" fillId="0" borderId="1" xfId="0" applyFont="1" applyFill="1" applyBorder="1" applyAlignment="1">
      <alignment horizontal="center" vertical="top" wrapText="1"/>
    </xf>
    <xf numFmtId="2" fontId="69" fillId="0" borderId="1" xfId="0" applyNumberFormat="1" applyFont="1" applyFill="1" applyBorder="1" applyAlignment="1">
      <alignment horizontal="center" vertical="top" wrapText="1"/>
    </xf>
    <xf numFmtId="2" fontId="69" fillId="0" borderId="1" xfId="0" applyNumberFormat="1" applyFont="1" applyBorder="1" applyAlignment="1">
      <alignment horizontal="center" vertical="top" wrapText="1"/>
    </xf>
    <xf numFmtId="165" fontId="69" fillId="0" borderId="1" xfId="0" applyNumberFormat="1" applyFont="1" applyBorder="1" applyAlignment="1">
      <alignment horizontal="center" vertical="top" wrapText="1"/>
    </xf>
    <xf numFmtId="165" fontId="69" fillId="0" borderId="1" xfId="0" applyNumberFormat="1" applyFont="1" applyBorder="1" applyAlignment="1">
      <alignment horizontal="center"/>
    </xf>
    <xf numFmtId="4" fontId="69" fillId="0" borderId="1" xfId="0" applyNumberFormat="1" applyFont="1" applyBorder="1" applyAlignment="1">
      <alignment horizontal="center" vertical="top" wrapText="1"/>
    </xf>
    <xf numFmtId="0" fontId="70" fillId="0" borderId="1" xfId="4" applyFont="1" applyFill="1" applyBorder="1" applyAlignment="1">
      <alignment horizontal="center" vertical="top"/>
    </xf>
    <xf numFmtId="165" fontId="70" fillId="0" borderId="1" xfId="4" applyNumberFormat="1" applyFont="1" applyFill="1" applyBorder="1" applyAlignment="1">
      <alignment horizontal="center" vertical="top"/>
    </xf>
    <xf numFmtId="2" fontId="69" fillId="0" borderId="1" xfId="0" applyNumberFormat="1" applyFont="1" applyFill="1" applyBorder="1" applyAlignment="1">
      <alignment horizontal="center" vertical="center" wrapText="1"/>
    </xf>
    <xf numFmtId="2" fontId="69" fillId="0" borderId="1" xfId="0" applyNumberFormat="1" applyFont="1" applyBorder="1" applyAlignment="1">
      <alignment horizontal="center" vertical="center" wrapText="1"/>
    </xf>
    <xf numFmtId="4" fontId="69" fillId="0" borderId="1" xfId="0" applyNumberFormat="1" applyFont="1" applyBorder="1" applyAlignment="1">
      <alignment horizontal="center" vertical="center" wrapText="1"/>
    </xf>
    <xf numFmtId="167" fontId="69" fillId="0" borderId="1" xfId="0" applyNumberFormat="1" applyFont="1" applyBorder="1" applyAlignment="1">
      <alignment horizontal="center" vertical="center" wrapText="1"/>
    </xf>
    <xf numFmtId="0" fontId="69" fillId="0" borderId="1" xfId="0" applyFont="1" applyBorder="1" applyAlignment="1">
      <alignment horizontal="center" vertical="top" wrapText="1"/>
    </xf>
    <xf numFmtId="2" fontId="69" fillId="0" borderId="1" xfId="0" applyNumberFormat="1" applyFont="1" applyBorder="1" applyAlignment="1">
      <alignment horizontal="center"/>
    </xf>
    <xf numFmtId="165" fontId="69" fillId="0" borderId="1" xfId="0" applyNumberFormat="1" applyFont="1" applyBorder="1" applyAlignment="1">
      <alignment horizontal="center" vertical="center" wrapText="1"/>
    </xf>
    <xf numFmtId="165" fontId="69" fillId="0" borderId="1" xfId="0" applyNumberFormat="1" applyFont="1" applyBorder="1" applyAlignment="1">
      <alignment horizontal="center" vertical="center"/>
    </xf>
    <xf numFmtId="0" fontId="72" fillId="4" borderId="0" xfId="4" applyFont="1" applyFill="1"/>
    <xf numFmtId="0" fontId="71" fillId="4" borderId="0" xfId="4" applyFont="1" applyFill="1"/>
    <xf numFmtId="2" fontId="75" fillId="0" borderId="1" xfId="0" applyNumberFormat="1" applyFont="1" applyBorder="1"/>
    <xf numFmtId="0" fontId="76" fillId="0" borderId="0" xfId="0" applyFont="1"/>
    <xf numFmtId="0" fontId="76" fillId="0" borderId="1" xfId="0" applyFont="1" applyBorder="1" applyAlignment="1">
      <alignment horizontal="center" wrapText="1"/>
    </xf>
    <xf numFmtId="0" fontId="76" fillId="0" borderId="1" xfId="0" applyFont="1" applyBorder="1"/>
    <xf numFmtId="1" fontId="76" fillId="0" borderId="1" xfId="0" applyNumberFormat="1" applyFont="1" applyBorder="1"/>
    <xf numFmtId="0" fontId="76" fillId="0" borderId="1" xfId="0" applyFont="1" applyBorder="1" applyAlignment="1">
      <alignment wrapText="1"/>
    </xf>
    <xf numFmtId="0" fontId="73" fillId="4" borderId="1" xfId="0" applyFont="1" applyFill="1" applyBorder="1" applyAlignment="1">
      <alignment horizontal="center" wrapText="1"/>
    </xf>
    <xf numFmtId="0" fontId="73" fillId="4" borderId="1" xfId="0" applyFont="1" applyFill="1" applyBorder="1" applyAlignment="1">
      <alignment horizontal="center"/>
    </xf>
    <xf numFmtId="0" fontId="80" fillId="0" borderId="0" xfId="4" applyFont="1"/>
    <xf numFmtId="3" fontId="17" fillId="0" borderId="1" xfId="0" applyNumberFormat="1" applyFont="1" applyBorder="1" applyAlignment="1">
      <alignment horizontal="center"/>
    </xf>
    <xf numFmtId="10" fontId="37" fillId="7" borderId="0" xfId="0" applyNumberFormat="1" applyFont="1" applyFill="1" applyAlignment="1">
      <alignment horizontal="center"/>
    </xf>
    <xf numFmtId="43" fontId="37" fillId="7" borderId="0" xfId="0" applyNumberFormat="1" applyFont="1" applyFill="1" applyAlignment="1">
      <alignment horizontal="center" vertical="center"/>
    </xf>
    <xf numFmtId="0" fontId="37" fillId="7" borderId="0" xfId="0" applyFont="1" applyFill="1" applyAlignment="1">
      <alignment horizontal="center" vertical="center"/>
    </xf>
    <xf numFmtId="43" fontId="56" fillId="7" borderId="0" xfId="0" applyNumberFormat="1" applyFont="1" applyFill="1" applyAlignment="1">
      <alignment horizontal="center" vertical="center"/>
    </xf>
    <xf numFmtId="4" fontId="40" fillId="7" borderId="0" xfId="0" applyNumberFormat="1" applyFont="1" applyFill="1" applyAlignment="1">
      <alignment horizontal="center" vertical="center"/>
    </xf>
    <xf numFmtId="0" fontId="15" fillId="2" borderId="4" xfId="0" applyFont="1" applyFill="1" applyBorder="1" applyAlignment="1">
      <alignment horizontal="center" vertical="center" wrapText="1"/>
    </xf>
    <xf numFmtId="0" fontId="62" fillId="2" borderId="4" xfId="0" applyFont="1" applyFill="1" applyBorder="1" applyAlignment="1">
      <alignment horizontal="center" vertical="center" wrapText="1"/>
    </xf>
    <xf numFmtId="0" fontId="15" fillId="3" borderId="55" xfId="0" applyFont="1" applyFill="1" applyBorder="1"/>
    <xf numFmtId="0" fontId="15" fillId="3" borderId="5" xfId="0" applyFont="1" applyFill="1" applyBorder="1"/>
    <xf numFmtId="4" fontId="0" fillId="0" borderId="1" xfId="1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45" fillId="0" borderId="10" xfId="0" applyNumberFormat="1" applyFont="1" applyBorder="1" applyAlignment="1">
      <alignment horizontal="center" vertical="center"/>
    </xf>
    <xf numFmtId="4" fontId="0" fillId="0" borderId="30" xfId="0" applyNumberFormat="1" applyBorder="1" applyAlignment="1">
      <alignment horizontal="center" vertical="center"/>
    </xf>
    <xf numFmtId="4" fontId="0" fillId="0" borderId="1" xfId="1" applyNumberFormat="1" applyFon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45" fillId="0" borderId="10" xfId="0" applyNumberFormat="1" applyFont="1" applyBorder="1" applyAlignment="1">
      <alignment horizontal="center"/>
    </xf>
    <xf numFmtId="168" fontId="0" fillId="0" borderId="1" xfId="0" applyNumberFormat="1" applyBorder="1" applyAlignment="1">
      <alignment horizontal="center" vertical="center"/>
    </xf>
    <xf numFmtId="168" fontId="0" fillId="0" borderId="1" xfId="0" applyNumberFormat="1" applyBorder="1" applyAlignment="1">
      <alignment horizontal="center"/>
    </xf>
    <xf numFmtId="10" fontId="76" fillId="0" borderId="1" xfId="0" applyNumberFormat="1" applyFont="1" applyBorder="1"/>
    <xf numFmtId="0" fontId="76" fillId="0" borderId="1" xfId="0" applyFont="1" applyBorder="1" applyAlignment="1">
      <alignment horizontal="center"/>
    </xf>
    <xf numFmtId="1" fontId="76" fillId="0" borderId="1" xfId="0" applyNumberFormat="1" applyFont="1" applyBorder="1" applyAlignment="1">
      <alignment horizontal="center"/>
    </xf>
    <xf numFmtId="10" fontId="76" fillId="0" borderId="1" xfId="0" applyNumberFormat="1" applyFont="1" applyBorder="1" applyAlignment="1">
      <alignment horizontal="center"/>
    </xf>
    <xf numFmtId="43" fontId="45" fillId="3" borderId="13" xfId="1" applyFont="1" applyFill="1" applyBorder="1" applyAlignment="1">
      <alignment horizontal="center"/>
    </xf>
    <xf numFmtId="43" fontId="0" fillId="2" borderId="3" xfId="1" applyFont="1" applyFill="1" applyBorder="1" applyAlignment="1"/>
    <xf numFmtId="0" fontId="22" fillId="2" borderId="58" xfId="0" applyFont="1" applyFill="1" applyBorder="1"/>
    <xf numFmtId="43" fontId="0" fillId="2" borderId="73" xfId="1" applyFont="1" applyFill="1" applyBorder="1" applyAlignment="1"/>
    <xf numFmtId="0" fontId="27" fillId="2" borderId="18" xfId="0" applyFont="1" applyFill="1" applyBorder="1" applyAlignment="1">
      <alignment horizontal="center" vertical="center" wrapText="1"/>
    </xf>
    <xf numFmtId="0" fontId="27" fillId="2" borderId="19" xfId="0" applyFont="1" applyFill="1" applyBorder="1" applyAlignment="1">
      <alignment horizontal="center" wrapText="1"/>
    </xf>
    <xf numFmtId="0" fontId="0" fillId="5" borderId="44" xfId="0" applyFill="1" applyBorder="1"/>
    <xf numFmtId="0" fontId="22" fillId="5" borderId="45" xfId="0" applyFont="1" applyFill="1" applyBorder="1"/>
    <xf numFmtId="43" fontId="0" fillId="5" borderId="44" xfId="1" applyFont="1" applyFill="1" applyBorder="1" applyAlignment="1"/>
    <xf numFmtId="43" fontId="0" fillId="5" borderId="1" xfId="1" applyFont="1" applyFill="1" applyBorder="1" applyAlignment="1"/>
    <xf numFmtId="0" fontId="85" fillId="0" borderId="9" xfId="0" applyFont="1" applyBorder="1" applyAlignment="1">
      <alignment horizontal="center"/>
    </xf>
    <xf numFmtId="0" fontId="85" fillId="0" borderId="11" xfId="0" applyFont="1" applyBorder="1" applyAlignment="1">
      <alignment horizontal="center"/>
    </xf>
    <xf numFmtId="0" fontId="84" fillId="4" borderId="8" xfId="0" applyFont="1" applyFill="1" applyBorder="1" applyAlignment="1">
      <alignment horizontal="center" wrapText="1"/>
    </xf>
    <xf numFmtId="0" fontId="84" fillId="4" borderId="6" xfId="0" applyFont="1" applyFill="1" applyBorder="1" applyAlignment="1">
      <alignment horizontal="center" vertical="center"/>
    </xf>
    <xf numFmtId="0" fontId="14" fillId="3" borderId="26" xfId="0" applyFont="1" applyFill="1" applyBorder="1" applyAlignment="1"/>
    <xf numFmtId="0" fontId="81" fillId="4" borderId="8" xfId="0" applyFont="1" applyFill="1" applyBorder="1" applyAlignment="1">
      <alignment horizontal="center" vertical="center" wrapText="1"/>
    </xf>
    <xf numFmtId="0" fontId="82" fillId="0" borderId="10" xfId="0" applyFont="1" applyBorder="1"/>
    <xf numFmtId="0" fontId="82" fillId="0" borderId="13" xfId="0" applyFont="1" applyBorder="1"/>
    <xf numFmtId="0" fontId="14" fillId="0" borderId="0" xfId="0" applyFont="1" applyFill="1"/>
    <xf numFmtId="0" fontId="0" fillId="0" borderId="0" xfId="0" applyFill="1"/>
    <xf numFmtId="0" fontId="73" fillId="2" borderId="26" xfId="0" applyFont="1" applyFill="1" applyBorder="1" applyAlignment="1">
      <alignment vertical="center"/>
    </xf>
    <xf numFmtId="0" fontId="73" fillId="2" borderId="15" xfId="0" applyFont="1" applyFill="1" applyBorder="1" applyAlignment="1">
      <alignment horizontal="center" vertical="center" wrapText="1"/>
    </xf>
    <xf numFmtId="0" fontId="75" fillId="0" borderId="4" xfId="0" applyFont="1" applyBorder="1" applyAlignment="1">
      <alignment horizontal="center"/>
    </xf>
    <xf numFmtId="0" fontId="75" fillId="0" borderId="1" xfId="0" applyFont="1" applyBorder="1" applyAlignment="1">
      <alignment horizontal="center"/>
    </xf>
    <xf numFmtId="2" fontId="75" fillId="0" borderId="4" xfId="0" applyNumberFormat="1" applyFont="1" applyBorder="1"/>
    <xf numFmtId="169" fontId="75" fillId="0" borderId="4" xfId="0" applyNumberFormat="1" applyFont="1" applyBorder="1"/>
    <xf numFmtId="169" fontId="75" fillId="0" borderId="1" xfId="0" applyNumberFormat="1" applyFont="1" applyBorder="1"/>
    <xf numFmtId="170" fontId="75" fillId="0" borderId="4" xfId="0" applyNumberFormat="1" applyFont="1" applyBorder="1"/>
    <xf numFmtId="170" fontId="75" fillId="0" borderId="1" xfId="0" applyNumberFormat="1" applyFont="1" applyBorder="1"/>
    <xf numFmtId="2" fontId="75" fillId="0" borderId="1" xfId="0" quotePrefix="1" applyNumberFormat="1" applyFont="1" applyBorder="1"/>
    <xf numFmtId="169" fontId="75" fillId="0" borderId="1" xfId="0" quotePrefix="1" applyNumberFormat="1" applyFont="1" applyBorder="1"/>
    <xf numFmtId="171" fontId="75" fillId="0" borderId="4" xfId="0" applyNumberFormat="1" applyFont="1" applyBorder="1"/>
    <xf numFmtId="171" fontId="75" fillId="0" borderId="1" xfId="0" applyNumberFormat="1" applyFont="1" applyBorder="1"/>
    <xf numFmtId="170" fontId="0" fillId="0" borderId="4" xfId="0" applyNumberFormat="1" applyBorder="1"/>
    <xf numFmtId="171" fontId="0" fillId="0" borderId="4" xfId="0" applyNumberFormat="1" applyBorder="1"/>
    <xf numFmtId="169" fontId="0" fillId="0" borderId="4" xfId="0" applyNumberFormat="1" applyBorder="1"/>
    <xf numFmtId="2" fontId="0" fillId="0" borderId="4" xfId="0" applyNumberFormat="1" applyBorder="1"/>
    <xf numFmtId="172" fontId="0" fillId="0" borderId="4" xfId="1" applyNumberFormat="1" applyFont="1" applyBorder="1"/>
    <xf numFmtId="172" fontId="0" fillId="0" borderId="1" xfId="0" applyNumberFormat="1" applyBorder="1"/>
    <xf numFmtId="0" fontId="75" fillId="0" borderId="0" xfId="0" applyFont="1" applyFill="1" applyBorder="1"/>
    <xf numFmtId="0" fontId="75" fillId="0" borderId="75" xfId="0" applyFont="1" applyBorder="1" applyAlignment="1">
      <alignment horizontal="center"/>
    </xf>
    <xf numFmtId="0" fontId="75" fillId="0" borderId="76" xfId="0" applyFont="1" applyBorder="1" applyAlignment="1">
      <alignment horizontal="center"/>
    </xf>
    <xf numFmtId="0" fontId="75" fillId="0" borderId="77" xfId="0" applyFont="1" applyBorder="1" applyAlignment="1">
      <alignment horizontal="center"/>
    </xf>
    <xf numFmtId="0" fontId="75" fillId="0" borderId="53" xfId="0" applyFont="1" applyBorder="1" applyAlignment="1">
      <alignment horizontal="center"/>
    </xf>
    <xf numFmtId="0" fontId="73" fillId="2" borderId="3" xfId="0" applyFont="1" applyFill="1" applyBorder="1" applyAlignment="1">
      <alignment horizontal="center" vertical="center" wrapText="1"/>
    </xf>
    <xf numFmtId="0" fontId="87" fillId="0" borderId="0" xfId="0" applyFont="1" applyAlignment="1">
      <alignment horizontal="center" vertical="center"/>
    </xf>
    <xf numFmtId="0" fontId="73" fillId="4" borderId="6" xfId="0" applyFont="1" applyFill="1" applyBorder="1" applyAlignment="1">
      <alignment horizontal="center" wrapText="1"/>
    </xf>
    <xf numFmtId="0" fontId="73" fillId="4" borderId="7" xfId="0" applyFont="1" applyFill="1" applyBorder="1" applyAlignment="1">
      <alignment horizontal="center"/>
    </xf>
    <xf numFmtId="0" fontId="73" fillId="4" borderId="8" xfId="0" applyFont="1" applyFill="1" applyBorder="1" applyAlignment="1">
      <alignment horizontal="center"/>
    </xf>
    <xf numFmtId="0" fontId="76" fillId="0" borderId="9" xfId="0" applyFont="1" applyBorder="1"/>
    <xf numFmtId="0" fontId="76" fillId="0" borderId="10" xfId="0" applyFont="1" applyBorder="1"/>
    <xf numFmtId="0" fontId="76" fillId="0" borderId="9" xfId="0" applyFont="1" applyBorder="1" applyAlignment="1">
      <alignment wrapText="1"/>
    </xf>
    <xf numFmtId="1" fontId="76" fillId="0" borderId="10" xfId="0" applyNumberFormat="1" applyFont="1" applyBorder="1" applyAlignment="1">
      <alignment horizontal="center"/>
    </xf>
    <xf numFmtId="0" fontId="76" fillId="0" borderId="11" xfId="0" applyFont="1" applyBorder="1" applyAlignment="1">
      <alignment wrapText="1"/>
    </xf>
    <xf numFmtId="0" fontId="76" fillId="0" borderId="12" xfId="0" applyFont="1" applyBorder="1"/>
    <xf numFmtId="1" fontId="76" fillId="0" borderId="13" xfId="0" applyNumberFormat="1" applyFont="1" applyBorder="1" applyAlignment="1">
      <alignment horizontal="center"/>
    </xf>
    <xf numFmtId="0" fontId="74" fillId="0" borderId="9" xfId="0" applyFont="1" applyBorder="1" applyAlignment="1">
      <alignment wrapText="1"/>
    </xf>
    <xf numFmtId="0" fontId="74" fillId="0" borderId="11" xfId="0" applyFont="1" applyBorder="1" applyAlignment="1">
      <alignment wrapText="1"/>
    </xf>
    <xf numFmtId="0" fontId="81" fillId="0" borderId="0" xfId="0" applyFont="1" applyBorder="1" applyAlignment="1">
      <alignment horizontal="right"/>
    </xf>
    <xf numFmtId="0" fontId="82" fillId="0" borderId="0" xfId="0" applyFont="1" applyBorder="1"/>
    <xf numFmtId="0" fontId="73" fillId="0" borderId="0" xfId="0" applyFont="1" applyFill="1" applyBorder="1" applyAlignment="1">
      <alignment horizontal="center" wrapText="1"/>
    </xf>
    <xf numFmtId="2" fontId="45" fillId="0" borderId="0" xfId="0" applyNumberFormat="1" applyFont="1"/>
    <xf numFmtId="0" fontId="0" fillId="3" borderId="8" xfId="0" applyFill="1" applyBorder="1"/>
    <xf numFmtId="0" fontId="23" fillId="3" borderId="9" xfId="0" applyFont="1" applyFill="1" applyBorder="1" applyAlignment="1">
      <alignment wrapText="1"/>
    </xf>
    <xf numFmtId="43" fontId="0" fillId="3" borderId="10" xfId="1" applyFont="1" applyFill="1" applyBorder="1"/>
    <xf numFmtId="43" fontId="0" fillId="3" borderId="10" xfId="0" applyNumberFormat="1" applyFill="1" applyBorder="1"/>
    <xf numFmtId="2" fontId="22" fillId="0" borderId="1" xfId="0" applyNumberFormat="1" applyFont="1" applyBorder="1"/>
    <xf numFmtId="0" fontId="10" fillId="0" borderId="17" xfId="0" applyFont="1" applyBorder="1" applyAlignment="1">
      <alignment horizontal="center"/>
    </xf>
    <xf numFmtId="0" fontId="26" fillId="0" borderId="9" xfId="0" applyFont="1" applyBorder="1" applyAlignment="1">
      <alignment horizontal="right"/>
    </xf>
    <xf numFmtId="2" fontId="26" fillId="0" borderId="44" xfId="0" applyNumberFormat="1" applyFont="1" applyBorder="1"/>
    <xf numFmtId="0" fontId="88" fillId="0" borderId="0" xfId="0" applyFont="1"/>
    <xf numFmtId="2" fontId="0" fillId="0" borderId="12" xfId="0" applyNumberFormat="1" applyBorder="1"/>
    <xf numFmtId="3" fontId="0" fillId="0" borderId="0" xfId="0" applyNumberFormat="1"/>
    <xf numFmtId="166" fontId="0" fillId="0" borderId="1" xfId="0" applyNumberFormat="1" applyBorder="1"/>
    <xf numFmtId="166" fontId="0" fillId="0" borderId="10" xfId="0" applyNumberFormat="1" applyBorder="1"/>
    <xf numFmtId="166" fontId="39" fillId="0" borderId="30" xfId="1" applyNumberFormat="1" applyFont="1" applyBorder="1" applyAlignment="1">
      <alignment horizontal="right"/>
    </xf>
    <xf numFmtId="166" fontId="39" fillId="0" borderId="31" xfId="1" applyNumberFormat="1" applyFont="1" applyBorder="1" applyAlignment="1">
      <alignment horizontal="right"/>
    </xf>
    <xf numFmtId="166" fontId="39" fillId="0" borderId="1" xfId="1" applyNumberFormat="1" applyFont="1" applyBorder="1" applyAlignment="1">
      <alignment horizontal="right"/>
    </xf>
    <xf numFmtId="166" fontId="39" fillId="0" borderId="10" xfId="1" applyNumberFormat="1" applyFont="1" applyBorder="1" applyAlignment="1">
      <alignment horizontal="right"/>
    </xf>
    <xf numFmtId="0" fontId="66" fillId="0" borderId="0" xfId="4"/>
    <xf numFmtId="4" fontId="0" fillId="0" borderId="38" xfId="0" applyNumberFormat="1" applyFill="1" applyBorder="1" applyAlignment="1">
      <alignment horizontal="left"/>
    </xf>
    <xf numFmtId="4" fontId="90" fillId="0" borderId="25" xfId="0" quotePrefix="1" applyNumberFormat="1" applyFont="1" applyBorder="1" applyAlignment="1">
      <alignment horizontal="right" wrapText="1"/>
    </xf>
    <xf numFmtId="0" fontId="44" fillId="0" borderId="25" xfId="0" applyFont="1" applyBorder="1" applyAlignment="1">
      <alignment horizontal="right" wrapText="1"/>
    </xf>
    <xf numFmtId="0" fontId="44" fillId="0" borderId="0" xfId="0" applyFont="1" applyBorder="1" applyAlignment="1">
      <alignment vertical="top"/>
    </xf>
    <xf numFmtId="43" fontId="44" fillId="0" borderId="25" xfId="0" applyNumberFormat="1" applyFont="1" applyBorder="1" applyAlignment="1">
      <alignment horizontal="right"/>
    </xf>
    <xf numFmtId="0" fontId="44" fillId="0" borderId="78" xfId="0" applyFont="1" applyBorder="1" applyAlignment="1">
      <alignment horizontal="left" vertical="top" wrapText="1"/>
    </xf>
    <xf numFmtId="0" fontId="44" fillId="0" borderId="78" xfId="0" applyFont="1" applyBorder="1" applyAlignment="1">
      <alignment vertical="center" wrapText="1"/>
    </xf>
    <xf numFmtId="0" fontId="44" fillId="0" borderId="78" xfId="0" applyFont="1" applyBorder="1" applyAlignment="1">
      <alignment vertical="top" wrapText="1"/>
    </xf>
    <xf numFmtId="2" fontId="76" fillId="0" borderId="1" xfId="0" applyNumberFormat="1" applyFont="1" applyBorder="1" applyAlignment="1">
      <alignment horizontal="center"/>
    </xf>
    <xf numFmtId="0" fontId="26" fillId="0" borderId="10" xfId="0" applyFont="1" applyBorder="1"/>
    <xf numFmtId="0" fontId="76" fillId="0" borderId="1" xfId="0" applyFont="1" applyFill="1" applyBorder="1" applyAlignment="1">
      <alignment horizontal="center"/>
    </xf>
    <xf numFmtId="1" fontId="76" fillId="0" borderId="1" xfId="0" applyNumberFormat="1" applyFont="1" applyFill="1" applyBorder="1" applyAlignment="1">
      <alignment horizontal="center"/>
    </xf>
    <xf numFmtId="0" fontId="76" fillId="0" borderId="12" xfId="0" applyFont="1" applyFill="1" applyBorder="1" applyAlignment="1">
      <alignment horizontal="center"/>
    </xf>
    <xf numFmtId="2" fontId="76" fillId="0" borderId="1" xfId="0" applyNumberFormat="1" applyFont="1" applyFill="1" applyBorder="1" applyAlignment="1">
      <alignment horizontal="center"/>
    </xf>
    <xf numFmtId="10" fontId="76" fillId="0" borderId="1" xfId="0" applyNumberFormat="1" applyFont="1" applyFill="1" applyBorder="1" applyAlignment="1">
      <alignment horizontal="center"/>
    </xf>
    <xf numFmtId="0" fontId="82" fillId="0" borderId="10" xfId="0" applyFont="1" applyFill="1" applyBorder="1"/>
    <xf numFmtId="0" fontId="82" fillId="0" borderId="13" xfId="0" applyFont="1" applyFill="1" applyBorder="1"/>
    <xf numFmtId="4" fontId="85" fillId="0" borderId="10" xfId="0" applyNumberFormat="1" applyFont="1" applyFill="1" applyBorder="1" applyAlignment="1">
      <alignment horizontal="center"/>
    </xf>
    <xf numFmtId="4" fontId="85" fillId="0" borderId="13" xfId="0" applyNumberFormat="1" applyFont="1" applyFill="1" applyBorder="1" applyAlignment="1">
      <alignment horizontal="center"/>
    </xf>
    <xf numFmtId="0" fontId="75" fillId="0" borderId="8" xfId="0" applyFont="1" applyFill="1" applyBorder="1"/>
    <xf numFmtId="0" fontId="75" fillId="0" borderId="10" xfId="0" applyFont="1" applyFill="1" applyBorder="1"/>
    <xf numFmtId="0" fontId="75" fillId="0" borderId="13" xfId="0" applyFont="1" applyFill="1" applyBorder="1"/>
    <xf numFmtId="0" fontId="26" fillId="0" borderId="9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26" fillId="0" borderId="1" xfId="0" applyFont="1" applyFill="1" applyBorder="1"/>
    <xf numFmtId="3" fontId="76" fillId="0" borderId="1" xfId="0" applyNumberFormat="1" applyFont="1" applyFill="1" applyBorder="1" applyAlignment="1">
      <alignment horizontal="center"/>
    </xf>
    <xf numFmtId="0" fontId="76" fillId="0" borderId="0" xfId="0" applyFont="1" applyAlignment="1">
      <alignment horizontal="left" wrapText="1"/>
    </xf>
    <xf numFmtId="0" fontId="76" fillId="0" borderId="1" xfId="0" applyFont="1" applyBorder="1" applyAlignment="1">
      <alignment horizontal="center"/>
    </xf>
    <xf numFmtId="0" fontId="44" fillId="0" borderId="0" xfId="0" applyFont="1" applyBorder="1" applyAlignment="1">
      <alignment horizontal="left" vertical="center" wrapText="1"/>
    </xf>
    <xf numFmtId="0" fontId="0" fillId="0" borderId="71" xfId="0" applyFill="1" applyBorder="1"/>
    <xf numFmtId="0" fontId="22" fillId="0" borderId="43" xfId="0" applyFont="1" applyFill="1" applyBorder="1"/>
    <xf numFmtId="43" fontId="0" fillId="0" borderId="46" xfId="1" applyFont="1" applyFill="1" applyBorder="1" applyAlignment="1"/>
    <xf numFmtId="43" fontId="0" fillId="0" borderId="79" xfId="1" applyFont="1" applyFill="1" applyBorder="1" applyAlignment="1"/>
    <xf numFmtId="0" fontId="50" fillId="0" borderId="59" xfId="0" applyFont="1" applyBorder="1" applyAlignment="1">
      <alignment vertical="center" wrapText="1"/>
    </xf>
    <xf numFmtId="0" fontId="50" fillId="0" borderId="27" xfId="0" applyFont="1" applyBorder="1" applyAlignment="1">
      <alignment vertical="center" wrapText="1"/>
    </xf>
    <xf numFmtId="9" fontId="23" fillId="16" borderId="1" xfId="5" applyNumberFormat="1" applyFont="1" applyFill="1" applyBorder="1"/>
    <xf numFmtId="4" fontId="23" fillId="16" borderId="1" xfId="5" applyNumberFormat="1" applyFont="1" applyFill="1" applyBorder="1"/>
    <xf numFmtId="0" fontId="56" fillId="0" borderId="0" xfId="0" applyFont="1"/>
    <xf numFmtId="0" fontId="44" fillId="0" borderId="59" xfId="0" applyFont="1" applyBorder="1" applyAlignment="1">
      <alignment horizontal="right" vertical="center" wrapText="1"/>
    </xf>
    <xf numFmtId="4" fontId="0" fillId="0" borderId="0" xfId="0" applyNumberFormat="1" applyAlignment="1">
      <alignment horizontal="right"/>
    </xf>
    <xf numFmtId="4" fontId="44" fillId="0" borderId="27" xfId="0" applyNumberFormat="1" applyFont="1" applyBorder="1" applyAlignment="1">
      <alignment vertical="center" wrapText="1"/>
    </xf>
    <xf numFmtId="4" fontId="50" fillId="0" borderId="27" xfId="0" applyNumberFormat="1" applyFont="1" applyBorder="1" applyAlignment="1">
      <alignment vertical="center" wrapText="1"/>
    </xf>
    <xf numFmtId="4" fontId="66" fillId="0" borderId="0" xfId="4" applyNumberFormat="1"/>
    <xf numFmtId="4" fontId="37" fillId="7" borderId="3" xfId="0" applyNumberFormat="1" applyFont="1" applyFill="1" applyBorder="1" applyAlignment="1">
      <alignment wrapText="1"/>
    </xf>
    <xf numFmtId="4" fontId="37" fillId="7" borderId="15" xfId="0" applyNumberFormat="1" applyFont="1" applyFill="1" applyBorder="1" applyAlignment="1">
      <alignment wrapText="1"/>
    </xf>
    <xf numFmtId="4" fontId="37" fillId="7" borderId="38" xfId="0" applyNumberFormat="1" applyFont="1" applyFill="1" applyBorder="1"/>
    <xf numFmtId="4" fontId="37" fillId="7" borderId="4" xfId="0" applyNumberFormat="1" applyFont="1" applyFill="1" applyBorder="1" applyAlignment="1">
      <alignment horizontal="right" vertical="top"/>
    </xf>
    <xf numFmtId="4" fontId="37" fillId="7" borderId="30" xfId="0" applyNumberFormat="1" applyFont="1" applyFill="1" applyBorder="1" applyAlignment="1">
      <alignment horizontal="right" vertical="top"/>
    </xf>
    <xf numFmtId="0" fontId="50" fillId="7" borderId="0" xfId="0" applyFont="1" applyFill="1" applyBorder="1" applyAlignment="1">
      <alignment horizontal="left" vertical="center" wrapText="1"/>
    </xf>
    <xf numFmtId="0" fontId="50" fillId="7" borderId="0" xfId="0" applyFont="1" applyFill="1" applyBorder="1" applyAlignment="1">
      <alignment horizontal="right" vertical="center" wrapText="1"/>
    </xf>
    <xf numFmtId="10" fontId="50" fillId="7" borderId="0" xfId="0" applyNumberFormat="1" applyFont="1" applyFill="1" applyBorder="1" applyAlignment="1">
      <alignment horizontal="left" vertical="center" wrapText="1"/>
    </xf>
    <xf numFmtId="0" fontId="79" fillId="0" borderId="1" xfId="0" applyFont="1" applyFill="1" applyBorder="1" applyAlignment="1">
      <alignment horizontal="center"/>
    </xf>
    <xf numFmtId="1" fontId="79" fillId="0" borderId="1" xfId="0" applyNumberFormat="1" applyFont="1" applyFill="1" applyBorder="1" applyAlignment="1">
      <alignment horizontal="center"/>
    </xf>
    <xf numFmtId="2" fontId="45" fillId="0" borderId="1" xfId="0" applyNumberFormat="1" applyFont="1" applyBorder="1" applyAlignment="1">
      <alignment horizontal="right"/>
    </xf>
    <xf numFmtId="2" fontId="45" fillId="0" borderId="12" xfId="0" applyNumberFormat="1" applyFont="1" applyBorder="1" applyAlignment="1">
      <alignment horizontal="right"/>
    </xf>
    <xf numFmtId="2" fontId="45" fillId="0" borderId="7" xfId="0" applyNumberFormat="1" applyFont="1" applyBorder="1" applyAlignment="1">
      <alignment horizontal="right"/>
    </xf>
    <xf numFmtId="2" fontId="45" fillId="0" borderId="8" xfId="0" applyNumberFormat="1" applyFont="1" applyBorder="1" applyAlignment="1">
      <alignment horizontal="right"/>
    </xf>
    <xf numFmtId="2" fontId="45" fillId="0" borderId="10" xfId="0" applyNumberFormat="1" applyFont="1" applyFill="1" applyBorder="1" applyAlignment="1">
      <alignment horizontal="right"/>
    </xf>
    <xf numFmtId="2" fontId="45" fillId="0" borderId="1" xfId="1" applyNumberFormat="1" applyFont="1" applyBorder="1" applyAlignment="1">
      <alignment horizontal="right"/>
    </xf>
    <xf numFmtId="2" fontId="45" fillId="0" borderId="10" xfId="1" applyNumberFormat="1" applyFont="1" applyBorder="1" applyAlignment="1">
      <alignment horizontal="right"/>
    </xf>
    <xf numFmtId="2" fontId="74" fillId="0" borderId="10" xfId="0" applyNumberFormat="1" applyFont="1" applyBorder="1"/>
    <xf numFmtId="2" fontId="74" fillId="0" borderId="13" xfId="0" applyNumberFormat="1" applyFont="1" applyBorder="1"/>
    <xf numFmtId="0" fontId="65" fillId="2" borderId="18" xfId="0" applyFont="1" applyFill="1" applyBorder="1" applyAlignment="1">
      <alignment horizontal="right"/>
    </xf>
    <xf numFmtId="2" fontId="65" fillId="2" borderId="19" xfId="0" applyNumberFormat="1" applyFont="1" applyFill="1" applyBorder="1" applyAlignment="1">
      <alignment horizontal="right"/>
    </xf>
    <xf numFmtId="0" fontId="50" fillId="0" borderId="59" xfId="0" applyFont="1" applyBorder="1" applyAlignment="1">
      <alignment horizontal="right" vertical="center" wrapText="1"/>
    </xf>
    <xf numFmtId="0" fontId="0" fillId="0" borderId="0" xfId="0" applyFont="1"/>
    <xf numFmtId="0" fontId="50" fillId="7" borderId="0" xfId="0" quotePrefix="1" applyFont="1" applyFill="1" applyBorder="1" applyAlignment="1">
      <alignment horizontal="left" vertical="center" wrapText="1"/>
    </xf>
    <xf numFmtId="10" fontId="50" fillId="7" borderId="0" xfId="0" quotePrefix="1" applyNumberFormat="1" applyFont="1" applyFill="1" applyBorder="1" applyAlignment="1">
      <alignment horizontal="left" vertical="center" wrapText="1"/>
    </xf>
    <xf numFmtId="0" fontId="92" fillId="0" borderId="0" xfId="4" applyFont="1"/>
    <xf numFmtId="4" fontId="50" fillId="0" borderId="80" xfId="0" applyNumberFormat="1" applyFont="1" applyBorder="1" applyAlignment="1">
      <alignment horizontal="center" wrapText="1"/>
    </xf>
    <xf numFmtId="4" fontId="40" fillId="7" borderId="80" xfId="0" applyNumberFormat="1" applyFont="1" applyFill="1" applyBorder="1"/>
    <xf numFmtId="4" fontId="40" fillId="7" borderId="80" xfId="0" applyNumberFormat="1" applyFont="1" applyFill="1" applyBorder="1" applyAlignment="1">
      <alignment horizontal="center"/>
    </xf>
    <xf numFmtId="4" fontId="40" fillId="7" borderId="80" xfId="0" applyNumberFormat="1" applyFont="1" applyFill="1" applyBorder="1" applyAlignment="1">
      <alignment horizontal="right"/>
    </xf>
    <xf numFmtId="4" fontId="23" fillId="16" borderId="30" xfId="5" applyNumberFormat="1" applyFont="1" applyFill="1" applyBorder="1" applyAlignment="1">
      <alignment horizontal="right"/>
    </xf>
    <xf numFmtId="0" fontId="0" fillId="0" borderId="0" xfId="0" applyAlignment="1">
      <alignment horizontal="left" wrapText="1"/>
    </xf>
    <xf numFmtId="2" fontId="22" fillId="2" borderId="15" xfId="0" applyNumberFormat="1" applyFont="1" applyFill="1" applyBorder="1"/>
    <xf numFmtId="0" fontId="95" fillId="0" borderId="30" xfId="0" applyFont="1" applyBorder="1" applyAlignment="1">
      <alignment horizontal="center"/>
    </xf>
    <xf numFmtId="17" fontId="95" fillId="0" borderId="30" xfId="0" applyNumberFormat="1" applyFont="1" applyBorder="1" applyAlignment="1">
      <alignment horizontal="center"/>
    </xf>
    <xf numFmtId="0" fontId="96" fillId="6" borderId="0" xfId="0" applyFont="1" applyFill="1"/>
    <xf numFmtId="0" fontId="94" fillId="0" borderId="0" xfId="0" applyFont="1"/>
    <xf numFmtId="0" fontId="95" fillId="0" borderId="1" xfId="0" applyFont="1" applyBorder="1" applyAlignment="1">
      <alignment horizontal="center"/>
    </xf>
    <xf numFmtId="0" fontId="95" fillId="0" borderId="9" xfId="0" applyFont="1" applyBorder="1" applyAlignment="1">
      <alignment horizontal="center"/>
    </xf>
    <xf numFmtId="4" fontId="95" fillId="5" borderId="30" xfId="0" applyNumberFormat="1" applyFont="1" applyFill="1" applyBorder="1" applyAlignment="1">
      <alignment horizontal="center"/>
    </xf>
    <xf numFmtId="0" fontId="95" fillId="0" borderId="30" xfId="0" applyFont="1" applyBorder="1" applyAlignment="1">
      <alignment horizontal="center" wrapText="1"/>
    </xf>
    <xf numFmtId="0" fontId="95" fillId="0" borderId="31" xfId="0" applyFont="1" applyBorder="1" applyAlignment="1">
      <alignment horizontal="center" wrapText="1"/>
    </xf>
    <xf numFmtId="0" fontId="95" fillId="0" borderId="9" xfId="0" applyFont="1" applyFill="1" applyBorder="1" applyAlignment="1">
      <alignment horizontal="center"/>
    </xf>
    <xf numFmtId="0" fontId="95" fillId="0" borderId="1" xfId="0" applyFont="1" applyBorder="1" applyAlignment="1">
      <alignment horizontal="center" wrapText="1"/>
    </xf>
    <xf numFmtId="0" fontId="95" fillId="0" borderId="0" xfId="0" applyFont="1"/>
    <xf numFmtId="0" fontId="95" fillId="0" borderId="0" xfId="0" applyFont="1" applyAlignment="1">
      <alignment wrapText="1"/>
    </xf>
    <xf numFmtId="0" fontId="97" fillId="0" borderId="0" xfId="0" applyFont="1"/>
    <xf numFmtId="0" fontId="97" fillId="0" borderId="0" xfId="0" applyFont="1" applyAlignment="1">
      <alignment wrapText="1"/>
    </xf>
    <xf numFmtId="0" fontId="97" fillId="3" borderId="6" xfId="0" applyFont="1" applyFill="1" applyBorder="1" applyAlignment="1">
      <alignment horizontal="center" vertical="center"/>
    </xf>
    <xf numFmtId="0" fontId="97" fillId="3" borderId="7" xfId="0" applyFont="1" applyFill="1" applyBorder="1" applyAlignment="1">
      <alignment horizontal="center" vertical="center" wrapText="1"/>
    </xf>
    <xf numFmtId="0" fontId="97" fillId="3" borderId="8" xfId="0" applyFont="1" applyFill="1" applyBorder="1" applyAlignment="1">
      <alignment horizontal="center" vertical="center" wrapText="1"/>
    </xf>
    <xf numFmtId="0" fontId="95" fillId="0" borderId="11" xfId="0" applyFont="1" applyBorder="1"/>
    <xf numFmtId="0" fontId="95" fillId="0" borderId="12" xfId="0" applyFont="1" applyBorder="1"/>
    <xf numFmtId="0" fontId="97" fillId="0" borderId="12" xfId="0" applyFont="1" applyBorder="1"/>
    <xf numFmtId="0" fontId="95" fillId="0" borderId="12" xfId="0" applyFont="1" applyBorder="1" applyAlignment="1">
      <alignment wrapText="1"/>
    </xf>
    <xf numFmtId="0" fontId="95" fillId="0" borderId="13" xfId="0" applyFont="1" applyBorder="1" applyAlignment="1">
      <alignment horizontal="center" wrapText="1"/>
    </xf>
    <xf numFmtId="0" fontId="97" fillId="0" borderId="0" xfId="0" applyFont="1" applyAlignment="1">
      <alignment horizontal="left"/>
    </xf>
    <xf numFmtId="0" fontId="97" fillId="0" borderId="0" xfId="0" applyFont="1" applyAlignment="1">
      <alignment horizontal="left" wrapText="1"/>
    </xf>
    <xf numFmtId="0" fontId="95" fillId="0" borderId="38" xfId="0" applyFont="1" applyFill="1" applyBorder="1" applyAlignment="1">
      <alignment horizontal="center" wrapText="1"/>
    </xf>
    <xf numFmtId="0" fontId="97" fillId="0" borderId="1" xfId="0" applyFont="1" applyBorder="1"/>
    <xf numFmtId="0" fontId="95" fillId="0" borderId="1" xfId="0" applyFont="1" applyBorder="1"/>
    <xf numFmtId="10" fontId="95" fillId="0" borderId="1" xfId="2" applyNumberFormat="1" applyFont="1" applyBorder="1"/>
    <xf numFmtId="0" fontId="95" fillId="0" borderId="0" xfId="0" applyFont="1" applyBorder="1" applyAlignment="1">
      <alignment horizontal="center"/>
    </xf>
    <xf numFmtId="1" fontId="95" fillId="0" borderId="0" xfId="0" applyNumberFormat="1" applyFont="1"/>
    <xf numFmtId="0" fontId="0" fillId="0" borderId="0" xfId="0" applyAlignment="1">
      <alignment horizontal="center"/>
    </xf>
    <xf numFmtId="0" fontId="55" fillId="7" borderId="0" xfId="0" applyFont="1" applyFill="1" applyAlignment="1">
      <alignment horizontal="left" vertical="center"/>
    </xf>
    <xf numFmtId="9" fontId="95" fillId="0" borderId="0" xfId="2" applyFont="1"/>
    <xf numFmtId="1" fontId="95" fillId="0" borderId="0" xfId="2" applyNumberFormat="1" applyFont="1"/>
    <xf numFmtId="0" fontId="95" fillId="0" borderId="30" xfId="0" applyFont="1" applyFill="1" applyBorder="1" applyAlignment="1">
      <alignment horizontal="center"/>
    </xf>
    <xf numFmtId="4" fontId="95" fillId="0" borderId="30" xfId="0" applyNumberFormat="1" applyFont="1" applyFill="1" applyBorder="1" applyAlignment="1">
      <alignment horizontal="center"/>
    </xf>
    <xf numFmtId="0" fontId="95" fillId="0" borderId="30" xfId="0" applyFont="1" applyFill="1" applyBorder="1" applyAlignment="1">
      <alignment horizontal="center" wrapText="1"/>
    </xf>
    <xf numFmtId="0" fontId="95" fillId="0" borderId="31" xfId="0" applyFont="1" applyFill="1" applyBorder="1" applyAlignment="1">
      <alignment horizontal="center" wrapText="1"/>
    </xf>
    <xf numFmtId="0" fontId="64" fillId="0" borderId="12" xfId="0" applyFont="1" applyBorder="1" applyAlignment="1">
      <alignment horizontal="right"/>
    </xf>
    <xf numFmtId="2" fontId="64" fillId="0" borderId="13" xfId="0" quotePrefix="1" applyNumberFormat="1" applyFont="1" applyBorder="1" applyAlignment="1">
      <alignment horizontal="right"/>
    </xf>
    <xf numFmtId="0" fontId="99" fillId="0" borderId="10" xfId="0" applyFont="1" applyFill="1" applyBorder="1"/>
    <xf numFmtId="0" fontId="99" fillId="0" borderId="13" xfId="0" applyFont="1" applyFill="1" applyBorder="1"/>
    <xf numFmtId="0" fontId="10" fillId="0" borderId="0" xfId="0" applyFont="1" applyBorder="1" applyAlignment="1">
      <alignment horizontal="center"/>
    </xf>
    <xf numFmtId="2" fontId="22" fillId="0" borderId="0" xfId="0" applyNumberFormat="1" applyFont="1" applyBorder="1"/>
    <xf numFmtId="0" fontId="100" fillId="0" borderId="1" xfId="0" applyFont="1" applyBorder="1" applyAlignment="1">
      <alignment vertical="center" wrapText="1"/>
    </xf>
    <xf numFmtId="0" fontId="100" fillId="0" borderId="1" xfId="0" applyFont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00" fillId="0" borderId="9" xfId="0" applyFont="1" applyBorder="1" applyAlignment="1">
      <alignment vertical="center" wrapText="1"/>
    </xf>
    <xf numFmtId="0" fontId="46" fillId="0" borderId="11" xfId="0" applyFont="1" applyBorder="1" applyAlignment="1">
      <alignment vertical="center" wrapText="1"/>
    </xf>
    <xf numFmtId="0" fontId="46" fillId="0" borderId="12" xfId="0" applyFont="1" applyFill="1" applyBorder="1" applyAlignment="1">
      <alignment horizontal="right" vertical="center" wrapText="1"/>
    </xf>
    <xf numFmtId="169" fontId="0" fillId="0" borderId="12" xfId="0" applyNumberFormat="1" applyBorder="1"/>
    <xf numFmtId="0" fontId="0" fillId="0" borderId="13" xfId="0" applyBorder="1"/>
    <xf numFmtId="169" fontId="100" fillId="0" borderId="1" xfId="0" applyNumberFormat="1" applyFont="1" applyBorder="1" applyAlignment="1">
      <alignment horizontal="center" vertical="center" wrapText="1"/>
    </xf>
    <xf numFmtId="4" fontId="100" fillId="0" borderId="10" xfId="0" applyNumberFormat="1" applyFont="1" applyBorder="1" applyAlignment="1">
      <alignment horizontal="center" vertical="center" wrapText="1"/>
    </xf>
    <xf numFmtId="0" fontId="101" fillId="4" borderId="9" xfId="0" applyFont="1" applyFill="1" applyBorder="1" applyAlignment="1">
      <alignment horizontal="center" vertical="center" wrapText="1"/>
    </xf>
    <xf numFmtId="0" fontId="102" fillId="0" borderId="1" xfId="0" applyFont="1" applyBorder="1" applyAlignment="1">
      <alignment horizontal="center"/>
    </xf>
    <xf numFmtId="2" fontId="102" fillId="0" borderId="1" xfId="0" applyNumberFormat="1" applyFont="1" applyBorder="1" applyAlignment="1">
      <alignment horizontal="center"/>
    </xf>
    <xf numFmtId="0" fontId="103" fillId="0" borderId="9" xfId="0" applyFont="1" applyBorder="1" applyAlignment="1">
      <alignment horizontal="center" wrapText="1"/>
    </xf>
    <xf numFmtId="0" fontId="104" fillId="0" borderId="10" xfId="0" applyFont="1" applyBorder="1" applyAlignment="1">
      <alignment horizontal="center"/>
    </xf>
    <xf numFmtId="0" fontId="44" fillId="0" borderId="27" xfId="0" applyFont="1" applyBorder="1" applyAlignment="1">
      <alignment horizontal="left" vertical="center" wrapText="1"/>
    </xf>
    <xf numFmtId="0" fontId="66" fillId="0" borderId="0" xfId="4" applyAlignment="1">
      <alignment horizontal="left" wrapText="1"/>
    </xf>
    <xf numFmtId="0" fontId="9" fillId="17" borderId="3" xfId="3" applyFont="1" applyFill="1" applyBorder="1" applyAlignment="1">
      <alignment vertical="center" wrapText="1"/>
    </xf>
    <xf numFmtId="0" fontId="9" fillId="17" borderId="27" xfId="3" applyFont="1" applyFill="1" applyBorder="1" applyAlignment="1">
      <alignment vertical="center" wrapText="1"/>
    </xf>
    <xf numFmtId="4" fontId="9" fillId="17" borderId="27" xfId="3" applyNumberFormat="1" applyFont="1" applyFill="1" applyBorder="1" applyAlignment="1">
      <alignment vertical="center" wrapText="1"/>
    </xf>
    <xf numFmtId="0" fontId="9" fillId="17" borderId="28" xfId="3" applyFont="1" applyFill="1" applyBorder="1" applyAlignment="1">
      <alignment vertical="center" wrapText="1"/>
    </xf>
    <xf numFmtId="0" fontId="9" fillId="17" borderId="3" xfId="3" applyFont="1" applyFill="1" applyBorder="1" applyAlignment="1">
      <alignment horizontal="center" vertical="center" wrapText="1"/>
    </xf>
    <xf numFmtId="0" fontId="9" fillId="17" borderId="26" xfId="3" applyFont="1" applyFill="1" applyBorder="1" applyAlignment="1">
      <alignment horizontal="center" vertical="center" wrapText="1"/>
    </xf>
    <xf numFmtId="0" fontId="91" fillId="17" borderId="12" xfId="3" applyFont="1" applyFill="1" applyBorder="1" applyAlignment="1">
      <alignment vertical="center" wrapText="1"/>
    </xf>
    <xf numFmtId="0" fontId="9" fillId="17" borderId="3" xfId="9" applyFont="1" applyFill="1" applyBorder="1" applyAlignment="1">
      <alignment vertical="center" wrapText="1"/>
    </xf>
    <xf numFmtId="0" fontId="9" fillId="17" borderId="27" xfId="9" applyFont="1" applyFill="1" applyBorder="1" applyAlignment="1">
      <alignment vertical="center" wrapText="1"/>
    </xf>
    <xf numFmtId="0" fontId="9" fillId="17" borderId="58" xfId="9" applyFont="1" applyFill="1" applyBorder="1" applyAlignment="1">
      <alignment horizontal="center" vertical="center"/>
    </xf>
    <xf numFmtId="4" fontId="9" fillId="17" borderId="48" xfId="9" applyNumberFormat="1" applyFont="1" applyFill="1" applyBorder="1" applyAlignment="1">
      <alignment horizontal="center" vertical="center"/>
    </xf>
    <xf numFmtId="0" fontId="9" fillId="17" borderId="1" xfId="9" applyFont="1" applyFill="1" applyBorder="1" applyAlignment="1">
      <alignment horizontal="center" vertical="center" wrapText="1"/>
    </xf>
    <xf numFmtId="4" fontId="9" fillId="17" borderId="1" xfId="9" applyNumberFormat="1" applyFont="1" applyFill="1" applyBorder="1" applyAlignment="1">
      <alignment horizontal="center" vertical="center" wrapText="1"/>
    </xf>
    <xf numFmtId="9" fontId="7" fillId="16" borderId="1" xfId="5" applyNumberFormat="1" applyFont="1" applyFill="1" applyBorder="1"/>
    <xf numFmtId="4" fontId="7" fillId="16" borderId="1" xfId="5" applyNumberFormat="1" applyFont="1" applyFill="1" applyBorder="1"/>
    <xf numFmtId="4" fontId="7" fillId="16" borderId="30" xfId="5" applyNumberFormat="1" applyFont="1" applyFill="1" applyBorder="1" applyAlignment="1">
      <alignment horizontal="right"/>
    </xf>
    <xf numFmtId="4" fontId="7" fillId="16" borderId="30" xfId="5" applyNumberFormat="1" applyFont="1" applyFill="1" applyBorder="1"/>
    <xf numFmtId="4" fontId="0" fillId="0" borderId="1" xfId="0" applyNumberFormat="1" applyBorder="1"/>
    <xf numFmtId="10" fontId="0" fillId="0" borderId="1" xfId="2" applyNumberFormat="1" applyFont="1" applyBorder="1"/>
    <xf numFmtId="0" fontId="42" fillId="3" borderId="1" xfId="0" applyFont="1" applyFill="1" applyBorder="1"/>
    <xf numFmtId="4" fontId="14" fillId="4" borderId="1" xfId="0" applyNumberFormat="1" applyFont="1" applyFill="1" applyBorder="1"/>
    <xf numFmtId="0" fontId="14" fillId="4" borderId="1" xfId="0" applyFont="1" applyFill="1" applyBorder="1"/>
    <xf numFmtId="10" fontId="14" fillId="4" borderId="1" xfId="0" applyNumberFormat="1" applyFont="1" applyFill="1" applyBorder="1"/>
    <xf numFmtId="0" fontId="48" fillId="19" borderId="1" xfId="8" applyNumberFormat="1" applyFill="1" applyBorder="1" applyAlignment="1">
      <alignment wrapText="1"/>
    </xf>
    <xf numFmtId="0" fontId="48" fillId="19" borderId="0" xfId="8" applyFill="1"/>
    <xf numFmtId="0" fontId="48" fillId="19" borderId="1" xfId="8" applyNumberFormat="1" applyFill="1" applyBorder="1" applyAlignment="1">
      <alignment horizontal="left" wrapText="1"/>
    </xf>
    <xf numFmtId="0" fontId="48" fillId="19" borderId="1" xfId="8" applyFill="1" applyBorder="1"/>
    <xf numFmtId="0" fontId="48" fillId="19" borderId="1" xfId="8" applyFill="1" applyBorder="1" applyAlignment="1">
      <alignment horizontal="right"/>
    </xf>
    <xf numFmtId="0" fontId="100" fillId="0" borderId="29" xfId="0" applyFont="1" applyBorder="1" applyAlignment="1">
      <alignment vertical="center" wrapText="1"/>
    </xf>
    <xf numFmtId="0" fontId="100" fillId="0" borderId="30" xfId="0" applyFont="1" applyBorder="1" applyAlignment="1">
      <alignment vertical="center" wrapText="1"/>
    </xf>
    <xf numFmtId="169" fontId="100" fillId="0" borderId="30" xfId="0" applyNumberFormat="1" applyFont="1" applyBorder="1" applyAlignment="1">
      <alignment horizontal="center" vertical="center" wrapText="1"/>
    </xf>
    <xf numFmtId="0" fontId="100" fillId="0" borderId="30" xfId="0" applyFont="1" applyBorder="1" applyAlignment="1">
      <alignment horizontal="center" vertical="center" wrapText="1"/>
    </xf>
    <xf numFmtId="4" fontId="100" fillId="0" borderId="31" xfId="0" applyNumberFormat="1" applyFont="1" applyBorder="1" applyAlignment="1">
      <alignment horizontal="center" vertical="center" wrapText="1"/>
    </xf>
    <xf numFmtId="0" fontId="44" fillId="0" borderId="23" xfId="0" applyFont="1" applyBorder="1" applyAlignment="1">
      <alignment vertical="center" wrapText="1"/>
    </xf>
    <xf numFmtId="0" fontId="44" fillId="0" borderId="3" xfId="0" applyFont="1" applyBorder="1" applyAlignment="1">
      <alignment horizontal="center" vertical="center" wrapText="1"/>
    </xf>
    <xf numFmtId="4" fontId="95" fillId="5" borderId="3" xfId="0" applyNumberFormat="1" applyFont="1" applyFill="1" applyBorder="1" applyAlignment="1">
      <alignment horizontal="center"/>
    </xf>
    <xf numFmtId="9" fontId="7" fillId="16" borderId="30" xfId="5" applyNumberFormat="1" applyFont="1" applyFill="1" applyBorder="1"/>
    <xf numFmtId="0" fontId="7" fillId="18" borderId="1" xfId="5" applyFont="1" applyFill="1" applyBorder="1" applyAlignment="1">
      <alignment horizontal="right"/>
    </xf>
    <xf numFmtId="0" fontId="7" fillId="18" borderId="1" xfId="5" applyFont="1" applyFill="1" applyBorder="1"/>
    <xf numFmtId="4" fontId="7" fillId="18" borderId="1" xfId="5" applyNumberFormat="1" applyFont="1" applyFill="1" applyBorder="1" applyAlignment="1">
      <alignment horizontal="center"/>
    </xf>
    <xf numFmtId="4" fontId="7" fillId="18" borderId="30" xfId="5" applyNumberFormat="1" applyFont="1" applyFill="1" applyBorder="1" applyAlignment="1">
      <alignment horizontal="center"/>
    </xf>
    <xf numFmtId="0" fontId="7" fillId="18" borderId="30" xfId="5" applyFont="1" applyFill="1" applyBorder="1"/>
    <xf numFmtId="0" fontId="7" fillId="18" borderId="30" xfId="5" applyFont="1" applyFill="1" applyBorder="1" applyAlignment="1">
      <alignment horizontal="right"/>
    </xf>
    <xf numFmtId="4" fontId="7" fillId="17" borderId="27" xfId="3" applyNumberFormat="1" applyFont="1" applyFill="1" applyBorder="1" applyAlignment="1">
      <alignment vertical="center" wrapText="1"/>
    </xf>
    <xf numFmtId="0" fontId="7" fillId="17" borderId="3" xfId="3" applyFont="1" applyFill="1" applyBorder="1" applyAlignment="1">
      <alignment horizontal="center" vertical="center" wrapText="1"/>
    </xf>
    <xf numFmtId="0" fontId="7" fillId="17" borderId="26" xfId="3" applyFont="1" applyFill="1" applyBorder="1" applyAlignment="1">
      <alignment horizontal="center" vertical="center" wrapText="1"/>
    </xf>
    <xf numFmtId="0" fontId="105" fillId="0" borderId="0" xfId="4" applyFont="1"/>
    <xf numFmtId="4" fontId="57" fillId="7" borderId="27" xfId="4" applyNumberFormat="1" applyFont="1" applyFill="1" applyBorder="1"/>
    <xf numFmtId="4" fontId="57" fillId="7" borderId="3" xfId="4" applyNumberFormat="1" applyFont="1" applyFill="1" applyBorder="1"/>
    <xf numFmtId="4" fontId="57" fillId="7" borderId="59" xfId="0" applyNumberFormat="1" applyFont="1" applyFill="1" applyBorder="1" applyAlignment="1">
      <alignment horizontal="right"/>
    </xf>
    <xf numFmtId="4" fontId="106" fillId="7" borderId="25" xfId="0" applyNumberFormat="1" applyFont="1" applyFill="1" applyBorder="1" applyAlignment="1">
      <alignment horizontal="right" wrapText="1"/>
    </xf>
    <xf numFmtId="0" fontId="50" fillId="7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44" fillId="0" borderId="3" xfId="0" quotePrefix="1" applyFont="1" applyBorder="1" applyAlignment="1">
      <alignment vertical="center" wrapText="1"/>
    </xf>
    <xf numFmtId="0" fontId="66" fillId="0" borderId="3" xfId="4" applyBorder="1"/>
    <xf numFmtId="0" fontId="93" fillId="0" borderId="26" xfId="4" applyFont="1" applyBorder="1"/>
    <xf numFmtId="0" fontId="93" fillId="0" borderId="3" xfId="4" applyFont="1" applyBorder="1" applyAlignment="1">
      <alignment wrapText="1"/>
    </xf>
    <xf numFmtId="4" fontId="93" fillId="0" borderId="28" xfId="4" applyNumberFormat="1" applyFont="1" applyBorder="1"/>
    <xf numFmtId="0" fontId="93" fillId="0" borderId="3" xfId="4" applyFont="1" applyBorder="1"/>
    <xf numFmtId="4" fontId="93" fillId="0" borderId="3" xfId="4" quotePrefix="1" applyNumberFormat="1" applyFont="1" applyBorder="1" applyAlignment="1">
      <alignment horizontal="right"/>
    </xf>
    <xf numFmtId="10" fontId="93" fillId="0" borderId="3" xfId="2" applyNumberFormat="1" applyFont="1" applyBorder="1"/>
    <xf numFmtId="4" fontId="7" fillId="0" borderId="25" xfId="0" applyNumberFormat="1" applyFont="1" applyBorder="1" applyAlignment="1">
      <alignment horizontal="right" wrapText="1"/>
    </xf>
    <xf numFmtId="0" fontId="7" fillId="0" borderId="25" xfId="0" applyFont="1" applyBorder="1" applyAlignment="1">
      <alignment vertical="center" wrapText="1"/>
    </xf>
    <xf numFmtId="4" fontId="7" fillId="0" borderId="25" xfId="0" quotePrefix="1" applyNumberFormat="1" applyFont="1" applyBorder="1" applyAlignment="1">
      <alignment horizontal="right" wrapText="1"/>
    </xf>
    <xf numFmtId="4" fontId="7" fillId="0" borderId="24" xfId="0" quotePrefix="1" applyNumberFormat="1" applyFont="1" applyBorder="1" applyAlignment="1">
      <alignment horizontal="right" wrapText="1"/>
    </xf>
    <xf numFmtId="0" fontId="7" fillId="0" borderId="59" xfId="0" applyFont="1" applyBorder="1"/>
    <xf numFmtId="10" fontId="7" fillId="0" borderId="59" xfId="0" applyNumberFormat="1" applyFont="1" applyBorder="1"/>
    <xf numFmtId="0" fontId="7" fillId="0" borderId="3" xfId="0" applyFont="1" applyBorder="1"/>
    <xf numFmtId="10" fontId="7" fillId="0" borderId="3" xfId="0" applyNumberFormat="1" applyFont="1" applyBorder="1"/>
    <xf numFmtId="4" fontId="7" fillId="0" borderId="24" xfId="0" applyNumberFormat="1" applyFont="1" applyBorder="1" applyAlignment="1">
      <alignment horizontal="right" wrapText="1"/>
    </xf>
    <xf numFmtId="4" fontId="93" fillId="0" borderId="28" xfId="4" quotePrefix="1" applyNumberFormat="1" applyFont="1" applyBorder="1" applyAlignment="1">
      <alignment horizontal="right"/>
    </xf>
    <xf numFmtId="0" fontId="8" fillId="17" borderId="27" xfId="3" applyFont="1" applyFill="1" applyBorder="1" applyAlignment="1">
      <alignment vertical="center" wrapText="1"/>
    </xf>
    <xf numFmtId="0" fontId="44" fillId="0" borderId="0" xfId="0" applyFont="1" applyBorder="1" applyAlignment="1">
      <alignment horizontal="left" vertical="top" wrapText="1"/>
    </xf>
    <xf numFmtId="0" fontId="7" fillId="17" borderId="3" xfId="3" applyFont="1" applyFill="1" applyBorder="1" applyAlignment="1">
      <alignment vertical="center" wrapText="1"/>
    </xf>
    <xf numFmtId="0" fontId="7" fillId="17" borderId="27" xfId="3" applyFont="1" applyFill="1" applyBorder="1" applyAlignment="1">
      <alignment vertical="center" wrapText="1"/>
    </xf>
    <xf numFmtId="0" fontId="7" fillId="17" borderId="28" xfId="3" applyFont="1" applyFill="1" applyBorder="1" applyAlignment="1">
      <alignment vertical="center" wrapText="1"/>
    </xf>
    <xf numFmtId="4" fontId="9" fillId="17" borderId="27" xfId="3" applyNumberFormat="1" applyFont="1" applyFill="1" applyBorder="1" applyAlignment="1">
      <alignment horizontal="center" vertical="center" wrapText="1"/>
    </xf>
    <xf numFmtId="0" fontId="9" fillId="17" borderId="27" xfId="3" applyFont="1" applyFill="1" applyBorder="1" applyAlignment="1">
      <alignment horizontal="center" vertical="center" wrapText="1"/>
    </xf>
    <xf numFmtId="4" fontId="9" fillId="17" borderId="15" xfId="3" applyNumberFormat="1" applyFont="1" applyFill="1" applyBorder="1" applyAlignment="1">
      <alignment horizontal="center" wrapText="1"/>
    </xf>
    <xf numFmtId="0" fontId="6" fillId="17" borderId="27" xfId="3" applyFont="1" applyFill="1" applyBorder="1" applyAlignment="1">
      <alignment vertical="center" wrapText="1"/>
    </xf>
    <xf numFmtId="4" fontId="44" fillId="0" borderId="59" xfId="0" quotePrefix="1" applyNumberFormat="1" applyFont="1" applyBorder="1" applyAlignment="1">
      <alignment horizontal="right" wrapText="1"/>
    </xf>
    <xf numFmtId="0" fontId="5" fillId="17" borderId="3" xfId="3" applyFont="1" applyFill="1" applyBorder="1" applyAlignment="1">
      <alignment horizontal="center" vertical="center" wrapText="1"/>
    </xf>
    <xf numFmtId="0" fontId="5" fillId="17" borderId="28" xfId="3" applyFont="1" applyFill="1" applyBorder="1" applyAlignment="1">
      <alignment horizontal="center" vertical="center" wrapText="1"/>
    </xf>
    <xf numFmtId="166" fontId="0" fillId="0" borderId="0" xfId="0" applyNumberFormat="1"/>
    <xf numFmtId="2" fontId="14" fillId="0" borderId="0" xfId="2" applyNumberFormat="1" applyFont="1"/>
    <xf numFmtId="10" fontId="95" fillId="0" borderId="0" xfId="2" applyNumberFormat="1" applyFont="1" applyAlignment="1">
      <alignment wrapText="1"/>
    </xf>
    <xf numFmtId="0" fontId="26" fillId="0" borderId="1" xfId="0" applyFont="1" applyFill="1" applyBorder="1" applyAlignment="1">
      <alignment horizontal="center" wrapText="1"/>
    </xf>
    <xf numFmtId="0" fontId="44" fillId="0" borderId="0" xfId="0" applyFont="1" applyAlignment="1">
      <alignment wrapText="1"/>
    </xf>
    <xf numFmtId="0" fontId="26" fillId="0" borderId="9" xfId="0" applyFont="1" applyBorder="1" applyAlignment="1">
      <alignment horizontal="center" wrapText="1"/>
    </xf>
    <xf numFmtId="0" fontId="4" fillId="17" borderId="27" xfId="3" applyFont="1" applyFill="1" applyBorder="1" applyAlignment="1">
      <alignment vertical="center" wrapText="1"/>
    </xf>
    <xf numFmtId="0" fontId="48" fillId="19" borderId="1" xfId="8" applyFill="1" applyBorder="1" applyAlignment="1">
      <alignment wrapText="1"/>
    </xf>
    <xf numFmtId="0" fontId="3" fillId="17" borderId="27" xfId="3" applyFont="1" applyFill="1" applyBorder="1" applyAlignment="1">
      <alignment vertical="center" wrapText="1"/>
    </xf>
    <xf numFmtId="0" fontId="107" fillId="0" borderId="0" xfId="0" applyFont="1"/>
    <xf numFmtId="0" fontId="107" fillId="0" borderId="0" xfId="0" applyFont="1" applyAlignment="1">
      <alignment horizontal="left" wrapText="1"/>
    </xf>
    <xf numFmtId="0" fontId="107" fillId="0" borderId="0" xfId="0" applyFont="1" applyAlignment="1">
      <alignment wrapText="1"/>
    </xf>
    <xf numFmtId="0" fontId="107" fillId="10" borderId="0" xfId="0" applyFont="1" applyFill="1" applyBorder="1"/>
    <xf numFmtId="0" fontId="108" fillId="10" borderId="0" xfId="0" applyFont="1" applyFill="1" applyBorder="1"/>
    <xf numFmtId="4" fontId="109" fillId="10" borderId="0" xfId="0" applyNumberFormat="1" applyFont="1" applyFill="1" applyBorder="1"/>
    <xf numFmtId="0" fontId="109" fillId="10" borderId="0" xfId="0" applyFont="1" applyFill="1" applyBorder="1"/>
    <xf numFmtId="4" fontId="112" fillId="10" borderId="0" xfId="0" applyNumberFormat="1" applyFont="1" applyFill="1"/>
    <xf numFmtId="4" fontId="112" fillId="0" borderId="0" xfId="0" applyNumberFormat="1" applyFont="1"/>
    <xf numFmtId="0" fontId="107" fillId="9" borderId="0" xfId="0" applyFont="1" applyFill="1" applyBorder="1" applyAlignment="1">
      <alignment horizontal="right"/>
    </xf>
    <xf numFmtId="0" fontId="108" fillId="9" borderId="0" xfId="0" applyFont="1" applyFill="1" applyBorder="1"/>
    <xf numFmtId="0" fontId="107" fillId="9" borderId="0" xfId="0" applyFont="1" applyFill="1" applyBorder="1"/>
    <xf numFmtId="4" fontId="109" fillId="9" borderId="0" xfId="0" applyNumberFormat="1" applyFont="1" applyFill="1" applyBorder="1"/>
    <xf numFmtId="0" fontId="109" fillId="9" borderId="0" xfId="0" applyFont="1" applyFill="1" applyBorder="1"/>
    <xf numFmtId="4" fontId="112" fillId="9" borderId="0" xfId="0" applyNumberFormat="1" applyFont="1" applyFill="1"/>
    <xf numFmtId="4" fontId="107" fillId="0" borderId="0" xfId="0" applyNumberFormat="1" applyFont="1"/>
    <xf numFmtId="0" fontId="110" fillId="19" borderId="70" xfId="8" applyFont="1" applyFill="1" applyBorder="1" applyAlignment="1">
      <alignment horizontal="center" vertical="center" wrapText="1"/>
    </xf>
    <xf numFmtId="0" fontId="111" fillId="18" borderId="70" xfId="6" applyFont="1" applyFill="1" applyBorder="1" applyAlignment="1">
      <alignment horizontal="center" vertical="center" wrapText="1"/>
    </xf>
    <xf numFmtId="4" fontId="111" fillId="18" borderId="70" xfId="6" applyNumberFormat="1" applyFont="1" applyFill="1" applyBorder="1" applyAlignment="1">
      <alignment horizontal="center" vertical="center" wrapText="1"/>
    </xf>
    <xf numFmtId="0" fontId="111" fillId="18" borderId="70" xfId="7" applyFont="1" applyFill="1" applyBorder="1" applyAlignment="1">
      <alignment horizontal="center" vertical="center" wrapText="1"/>
    </xf>
    <xf numFmtId="4" fontId="111" fillId="18" borderId="70" xfId="7" applyNumberFormat="1" applyFont="1" applyFill="1" applyBorder="1" applyAlignment="1">
      <alignment horizontal="center" vertical="center" wrapText="1"/>
    </xf>
    <xf numFmtId="0" fontId="110" fillId="19" borderId="81" xfId="8" applyFont="1" applyFill="1" applyBorder="1" applyAlignment="1">
      <alignment horizontal="center" vertical="center" wrapText="1"/>
    </xf>
    <xf numFmtId="0" fontId="111" fillId="18" borderId="81" xfId="6" applyFont="1" applyFill="1" applyBorder="1" applyAlignment="1">
      <alignment horizontal="center" vertical="center" wrapText="1"/>
    </xf>
    <xf numFmtId="4" fontId="111" fillId="18" borderId="81" xfId="6" applyNumberFormat="1" applyFont="1" applyFill="1" applyBorder="1" applyAlignment="1">
      <alignment horizontal="center" vertical="center" wrapText="1"/>
    </xf>
    <xf numFmtId="0" fontId="111" fillId="20" borderId="81" xfId="6" applyFont="1" applyFill="1" applyBorder="1" applyAlignment="1">
      <alignment horizontal="center" vertical="center" wrapText="1"/>
    </xf>
    <xf numFmtId="4" fontId="111" fillId="20" borderId="81" xfId="6" applyNumberFormat="1" applyFont="1" applyFill="1" applyBorder="1" applyAlignment="1">
      <alignment horizontal="center" vertical="center" wrapText="1"/>
    </xf>
    <xf numFmtId="4" fontId="111" fillId="20" borderId="64" xfId="7" applyNumberFormat="1" applyFont="1" applyFill="1" applyBorder="1" applyAlignment="1">
      <alignment horizontal="center" vertical="center" wrapText="1"/>
    </xf>
    <xf numFmtId="0" fontId="111" fillId="20" borderId="64" xfId="7" applyFont="1" applyFill="1" applyBorder="1" applyAlignment="1">
      <alignment horizontal="center" vertical="center" wrapText="1"/>
    </xf>
    <xf numFmtId="0" fontId="111" fillId="20" borderId="67" xfId="7" applyFont="1" applyFill="1" applyBorder="1" applyAlignment="1">
      <alignment horizontal="center" vertical="center" wrapText="1"/>
    </xf>
    <xf numFmtId="0" fontId="111" fillId="20" borderId="67" xfId="7" applyFont="1" applyFill="1" applyBorder="1" applyAlignment="1">
      <alignment vertical="top" wrapText="1"/>
    </xf>
    <xf numFmtId="4" fontId="111" fillId="18" borderId="64" xfId="6" applyNumberFormat="1" applyFont="1" applyFill="1" applyBorder="1" applyAlignment="1">
      <alignment horizontal="center" vertical="center" wrapText="1"/>
    </xf>
    <xf numFmtId="0" fontId="111" fillId="18" borderId="67" xfId="6" applyFont="1" applyFill="1" applyBorder="1" applyAlignment="1">
      <alignment horizontal="center" vertical="center" wrapText="1"/>
    </xf>
    <xf numFmtId="0" fontId="110" fillId="19" borderId="61" xfId="8" applyFont="1" applyFill="1" applyBorder="1" applyAlignment="1">
      <alignment horizontal="center" vertical="center" wrapText="1"/>
    </xf>
    <xf numFmtId="0" fontId="110" fillId="19" borderId="66" xfId="8" applyFont="1" applyFill="1" applyBorder="1" applyAlignment="1">
      <alignment horizontal="center" vertical="center" wrapText="1"/>
    </xf>
    <xf numFmtId="0" fontId="110" fillId="19" borderId="69" xfId="8" applyFont="1" applyFill="1" applyBorder="1" applyAlignment="1">
      <alignment horizontal="center" vertical="center" wrapText="1"/>
    </xf>
    <xf numFmtId="0" fontId="111" fillId="18" borderId="67" xfId="6" quotePrefix="1" applyFont="1" applyFill="1" applyBorder="1" applyAlignment="1">
      <alignment horizontal="center" vertical="center" wrapText="1"/>
    </xf>
    <xf numFmtId="4" fontId="111" fillId="18" borderId="67" xfId="6" quotePrefix="1" applyNumberFormat="1" applyFont="1" applyFill="1" applyBorder="1" applyAlignment="1">
      <alignment horizontal="center" vertical="center" wrapText="1"/>
    </xf>
    <xf numFmtId="0" fontId="111" fillId="18" borderId="64" xfId="6" applyFont="1" applyFill="1" applyBorder="1" applyAlignment="1">
      <alignment horizontal="center" vertical="center" wrapText="1"/>
    </xf>
    <xf numFmtId="0" fontId="111" fillId="18" borderId="67" xfId="6" applyFont="1" applyFill="1" applyBorder="1" applyAlignment="1">
      <alignment vertical="top" wrapText="1"/>
    </xf>
    <xf numFmtId="0" fontId="113" fillId="0" borderId="1" xfId="0" applyFont="1" applyBorder="1" applyAlignment="1">
      <alignment vertical="center" wrapText="1"/>
    </xf>
    <xf numFmtId="9" fontId="2" fillId="16" borderId="1" xfId="5" applyNumberFormat="1" applyFont="1" applyFill="1" applyBorder="1"/>
    <xf numFmtId="4" fontId="2" fillId="16" borderId="1" xfId="5" applyNumberFormat="1" applyFont="1" applyFill="1" applyBorder="1"/>
    <xf numFmtId="4" fontId="114" fillId="7" borderId="55" xfId="0" applyNumberFormat="1" applyFont="1" applyFill="1" applyBorder="1" applyAlignment="1">
      <alignment horizontal="right" vertical="center" wrapText="1"/>
    </xf>
    <xf numFmtId="4" fontId="83" fillId="7" borderId="22" xfId="0" applyNumberFormat="1" applyFont="1" applyFill="1" applyBorder="1"/>
    <xf numFmtId="4" fontId="14" fillId="7" borderId="80" xfId="0" applyNumberFormat="1" applyFont="1" applyFill="1" applyBorder="1"/>
    <xf numFmtId="4" fontId="14" fillId="7" borderId="23" xfId="0" applyNumberFormat="1" applyFont="1" applyFill="1" applyBorder="1"/>
    <xf numFmtId="4" fontId="14" fillId="7" borderId="25" xfId="0" applyNumberFormat="1" applyFont="1" applyFill="1" applyBorder="1"/>
    <xf numFmtId="0" fontId="14" fillId="7" borderId="59" xfId="0" applyFont="1" applyFill="1" applyBorder="1" applyAlignment="1">
      <alignment horizontal="right"/>
    </xf>
    <xf numFmtId="0" fontId="23" fillId="3" borderId="32" xfId="0" applyFont="1" applyFill="1" applyBorder="1" applyAlignment="1">
      <alignment horizontal="left"/>
    </xf>
    <xf numFmtId="0" fontId="23" fillId="3" borderId="33" xfId="0" applyFont="1" applyFill="1" applyBorder="1" applyAlignment="1">
      <alignment horizontal="left"/>
    </xf>
    <xf numFmtId="0" fontId="23" fillId="3" borderId="34" xfId="0" applyFont="1" applyFill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2" xfId="0" applyFont="1" applyBorder="1" applyAlignment="1">
      <alignment horizontal="left"/>
    </xf>
    <xf numFmtId="0" fontId="17" fillId="0" borderId="0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0" fontId="12" fillId="3" borderId="26" xfId="0" applyFont="1" applyFill="1" applyBorder="1" applyAlignment="1">
      <alignment horizontal="left"/>
    </xf>
    <xf numFmtId="0" fontId="12" fillId="3" borderId="28" xfId="0" applyFont="1" applyFill="1" applyBorder="1" applyAlignment="1">
      <alignment horizontal="left"/>
    </xf>
    <xf numFmtId="0" fontId="12" fillId="3" borderId="27" xfId="0" applyFont="1" applyFill="1" applyBorder="1" applyAlignment="1">
      <alignment horizontal="left"/>
    </xf>
    <xf numFmtId="0" fontId="12" fillId="2" borderId="32" xfId="0" applyFont="1" applyFill="1" applyBorder="1" applyAlignment="1">
      <alignment horizontal="left" vertical="center"/>
    </xf>
    <xf numFmtId="0" fontId="12" fillId="2" borderId="33" xfId="0" applyFont="1" applyFill="1" applyBorder="1" applyAlignment="1">
      <alignment horizontal="left" vertical="center"/>
    </xf>
    <xf numFmtId="0" fontId="12" fillId="2" borderId="34" xfId="0" applyFont="1" applyFill="1" applyBorder="1" applyAlignment="1">
      <alignment horizontal="left" vertical="center"/>
    </xf>
    <xf numFmtId="0" fontId="11" fillId="2" borderId="35" xfId="0" applyFont="1" applyFill="1" applyBorder="1" applyAlignment="1">
      <alignment horizontal="left" vertical="center" wrapText="1"/>
    </xf>
    <xf numFmtId="0" fontId="12" fillId="2" borderId="36" xfId="0" applyFont="1" applyFill="1" applyBorder="1" applyAlignment="1">
      <alignment horizontal="left" vertical="center" wrapText="1"/>
    </xf>
    <xf numFmtId="0" fontId="12" fillId="2" borderId="37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17" fillId="0" borderId="24" xfId="0" applyFont="1" applyBorder="1" applyAlignment="1">
      <alignment horizontal="left" vertical="center" wrapText="1"/>
    </xf>
    <xf numFmtId="0" fontId="17" fillId="0" borderId="25" xfId="0" applyFont="1" applyBorder="1" applyAlignment="1">
      <alignment horizontal="left" vertical="center" wrapText="1"/>
    </xf>
    <xf numFmtId="0" fontId="97" fillId="0" borderId="0" xfId="0" applyFont="1" applyBorder="1" applyAlignment="1">
      <alignment horizontal="left"/>
    </xf>
    <xf numFmtId="0" fontId="97" fillId="3" borderId="26" xfId="0" applyFont="1" applyFill="1" applyBorder="1" applyAlignment="1">
      <alignment horizontal="left"/>
    </xf>
    <xf numFmtId="0" fontId="97" fillId="3" borderId="28" xfId="0" applyFont="1" applyFill="1" applyBorder="1" applyAlignment="1">
      <alignment horizontal="left"/>
    </xf>
    <xf numFmtId="0" fontId="97" fillId="3" borderId="27" xfId="0" applyFont="1" applyFill="1" applyBorder="1" applyAlignment="1">
      <alignment horizontal="left"/>
    </xf>
    <xf numFmtId="0" fontId="76" fillId="0" borderId="0" xfId="0" applyFont="1" applyAlignment="1">
      <alignment horizontal="left" wrapText="1"/>
    </xf>
    <xf numFmtId="0" fontId="73" fillId="2" borderId="30" xfId="0" applyFont="1" applyFill="1" applyBorder="1" applyAlignment="1">
      <alignment horizontal="center" wrapText="1"/>
    </xf>
    <xf numFmtId="0" fontId="73" fillId="2" borderId="38" xfId="0" applyFont="1" applyFill="1" applyBorder="1" applyAlignment="1">
      <alignment horizontal="center" wrapText="1"/>
    </xf>
    <xf numFmtId="0" fontId="73" fillId="2" borderId="4" xfId="0" applyFont="1" applyFill="1" applyBorder="1" applyAlignment="1">
      <alignment horizontal="center" wrapText="1"/>
    </xf>
    <xf numFmtId="0" fontId="73" fillId="2" borderId="30" xfId="0" applyFont="1" applyFill="1" applyBorder="1" applyAlignment="1">
      <alignment horizontal="center"/>
    </xf>
    <xf numFmtId="0" fontId="73" fillId="2" borderId="38" xfId="0" applyFont="1" applyFill="1" applyBorder="1" applyAlignment="1">
      <alignment horizontal="center"/>
    </xf>
    <xf numFmtId="0" fontId="73" fillId="2" borderId="4" xfId="0" applyFont="1" applyFill="1" applyBorder="1" applyAlignment="1">
      <alignment horizontal="center"/>
    </xf>
    <xf numFmtId="0" fontId="73" fillId="2" borderId="40" xfId="0" applyFont="1" applyFill="1" applyBorder="1" applyAlignment="1">
      <alignment horizontal="center" wrapText="1"/>
    </xf>
    <xf numFmtId="0" fontId="75" fillId="0" borderId="0" xfId="0" applyFont="1" applyAlignment="1">
      <alignment horizontal="left" wrapText="1"/>
    </xf>
    <xf numFmtId="0" fontId="79" fillId="0" borderId="0" xfId="0" applyFont="1" applyAlignment="1">
      <alignment horizontal="left" wrapText="1"/>
    </xf>
    <xf numFmtId="0" fontId="79" fillId="0" borderId="0" xfId="0" applyFont="1" applyAlignment="1">
      <alignment horizontal="left"/>
    </xf>
    <xf numFmtId="0" fontId="73" fillId="0" borderId="0" xfId="0" applyFont="1" applyFill="1" applyBorder="1" applyAlignment="1">
      <alignment horizontal="center" wrapText="1"/>
    </xf>
    <xf numFmtId="0" fontId="73" fillId="2" borderId="26" xfId="0" applyFont="1" applyFill="1" applyBorder="1" applyAlignment="1">
      <alignment horizontal="center" vertical="center"/>
    </xf>
    <xf numFmtId="0" fontId="73" fillId="2" borderId="27" xfId="0" applyFont="1" applyFill="1" applyBorder="1" applyAlignment="1">
      <alignment horizontal="center" vertical="center"/>
    </xf>
    <xf numFmtId="0" fontId="73" fillId="2" borderId="58" xfId="0" applyFont="1" applyFill="1" applyBorder="1" applyAlignment="1">
      <alignment horizontal="center" wrapText="1"/>
    </xf>
    <xf numFmtId="0" fontId="73" fillId="2" borderId="74" xfId="0" applyFont="1" applyFill="1" applyBorder="1" applyAlignment="1">
      <alignment horizontal="center" wrapText="1"/>
    </xf>
    <xf numFmtId="0" fontId="73" fillId="2" borderId="50" xfId="0" applyFont="1" applyFill="1" applyBorder="1" applyAlignment="1">
      <alignment horizontal="center" wrapText="1"/>
    </xf>
    <xf numFmtId="0" fontId="73" fillId="2" borderId="29" xfId="0" applyFont="1" applyFill="1" applyBorder="1" applyAlignment="1">
      <alignment horizontal="center" wrapText="1"/>
    </xf>
    <xf numFmtId="0" fontId="73" fillId="2" borderId="29" xfId="0" applyFont="1" applyFill="1" applyBorder="1" applyAlignment="1">
      <alignment horizontal="center"/>
    </xf>
    <xf numFmtId="0" fontId="73" fillId="2" borderId="74" xfId="0" applyFont="1" applyFill="1" applyBorder="1" applyAlignment="1">
      <alignment horizontal="center"/>
    </xf>
    <xf numFmtId="0" fontId="73" fillId="2" borderId="50" xfId="0" applyFont="1" applyFill="1" applyBorder="1" applyAlignment="1">
      <alignment horizontal="center"/>
    </xf>
    <xf numFmtId="0" fontId="73" fillId="2" borderId="17" xfId="0" applyFont="1" applyFill="1" applyBorder="1" applyAlignment="1">
      <alignment horizontal="center" wrapText="1"/>
    </xf>
    <xf numFmtId="0" fontId="77" fillId="3" borderId="1" xfId="0" applyFont="1" applyFill="1" applyBorder="1" applyAlignment="1">
      <alignment horizontal="center" vertical="center" wrapText="1"/>
    </xf>
    <xf numFmtId="0" fontId="79" fillId="0" borderId="1" xfId="0" applyFont="1" applyBorder="1" applyAlignment="1">
      <alignment horizontal="center"/>
    </xf>
    <xf numFmtId="0" fontId="76" fillId="0" borderId="1" xfId="0" applyFont="1" applyBorder="1" applyAlignment="1">
      <alignment horizontal="center"/>
    </xf>
    <xf numFmtId="0" fontId="81" fillId="0" borderId="9" xfId="0" applyFont="1" applyBorder="1" applyAlignment="1">
      <alignment horizontal="right"/>
    </xf>
    <xf numFmtId="0" fontId="81" fillId="0" borderId="1" xfId="0" applyFont="1" applyBorder="1" applyAlignment="1">
      <alignment horizontal="right"/>
    </xf>
    <xf numFmtId="0" fontId="81" fillId="0" borderId="9" xfId="0" applyFont="1" applyBorder="1" applyAlignment="1">
      <alignment horizontal="right" wrapText="1"/>
    </xf>
    <xf numFmtId="0" fontId="81" fillId="0" borderId="1" xfId="0" applyFont="1" applyBorder="1" applyAlignment="1">
      <alignment horizontal="right" wrapText="1"/>
    </xf>
    <xf numFmtId="0" fontId="76" fillId="4" borderId="6" xfId="0" applyFont="1" applyFill="1" applyBorder="1" applyAlignment="1">
      <alignment horizontal="center"/>
    </xf>
    <xf numFmtId="0" fontId="76" fillId="4" borderId="7" xfId="0" applyFont="1" applyFill="1" applyBorder="1" applyAlignment="1">
      <alignment horizontal="center"/>
    </xf>
    <xf numFmtId="0" fontId="68" fillId="0" borderId="0" xfId="0" applyFont="1" applyBorder="1" applyAlignment="1">
      <alignment horizontal="left" vertical="top" wrapText="1"/>
    </xf>
    <xf numFmtId="0" fontId="77" fillId="3" borderId="6" xfId="0" applyFont="1" applyFill="1" applyBorder="1" applyAlignment="1">
      <alignment horizontal="center" vertical="center" wrapText="1"/>
    </xf>
    <xf numFmtId="0" fontId="77" fillId="3" borderId="8" xfId="0" applyFont="1" applyFill="1" applyBorder="1" applyAlignment="1">
      <alignment horizontal="center" vertical="center" wrapText="1"/>
    </xf>
    <xf numFmtId="2" fontId="79" fillId="0" borderId="11" xfId="0" applyNumberFormat="1" applyFont="1" applyBorder="1" applyAlignment="1">
      <alignment horizontal="center"/>
    </xf>
    <xf numFmtId="2" fontId="79" fillId="0" borderId="13" xfId="0" applyNumberFormat="1" applyFont="1" applyBorder="1" applyAlignment="1">
      <alignment horizontal="center"/>
    </xf>
    <xf numFmtId="0" fontId="73" fillId="3" borderId="49" xfId="0" applyFont="1" applyFill="1" applyBorder="1" applyAlignment="1">
      <alignment horizontal="center" wrapText="1"/>
    </xf>
    <xf numFmtId="0" fontId="73" fillId="3" borderId="34" xfId="0" applyFont="1" applyFill="1" applyBorder="1" applyAlignment="1">
      <alignment horizontal="center" wrapText="1"/>
    </xf>
    <xf numFmtId="0" fontId="68" fillId="3" borderId="44" xfId="0" applyFont="1" applyFill="1" applyBorder="1" applyAlignment="1">
      <alignment horizontal="center"/>
    </xf>
    <xf numFmtId="0" fontId="68" fillId="3" borderId="56" xfId="0" applyFont="1" applyFill="1" applyBorder="1" applyAlignment="1">
      <alignment horizontal="center"/>
    </xf>
    <xf numFmtId="0" fontId="68" fillId="3" borderId="45" xfId="0" applyFont="1" applyFill="1" applyBorder="1" applyAlignment="1">
      <alignment horizontal="center"/>
    </xf>
    <xf numFmtId="0" fontId="85" fillId="0" borderId="0" xfId="0" applyFont="1" applyAlignment="1">
      <alignment horizontal="left" vertical="center" wrapText="1"/>
    </xf>
    <xf numFmtId="0" fontId="76" fillId="0" borderId="0" xfId="0" applyFont="1" applyBorder="1" applyAlignment="1">
      <alignment horizontal="left" vertical="top" wrapText="1"/>
    </xf>
    <xf numFmtId="0" fontId="76" fillId="0" borderId="0" xfId="0" applyFont="1" applyAlignment="1">
      <alignment horizontal="center" wrapText="1"/>
    </xf>
    <xf numFmtId="2" fontId="76" fillId="0" borderId="1" xfId="0" applyNumberFormat="1" applyFont="1" applyBorder="1" applyAlignment="1">
      <alignment horizontal="center"/>
    </xf>
    <xf numFmtId="0" fontId="14" fillId="2" borderId="26" xfId="0" applyFont="1" applyFill="1" applyBorder="1" applyAlignment="1">
      <alignment horizontal="center"/>
    </xf>
    <xf numFmtId="0" fontId="14" fillId="2" borderId="28" xfId="0" applyFont="1" applyFill="1" applyBorder="1" applyAlignment="1">
      <alignment horizontal="center"/>
    </xf>
    <xf numFmtId="0" fontId="14" fillId="2" borderId="27" xfId="0" applyFont="1" applyFill="1" applyBorder="1" applyAlignment="1">
      <alignment horizontal="center"/>
    </xf>
    <xf numFmtId="0" fontId="27" fillId="2" borderId="26" xfId="0" applyFont="1" applyFill="1" applyBorder="1" applyAlignment="1">
      <alignment horizontal="center" vertical="center"/>
    </xf>
    <xf numFmtId="0" fontId="27" fillId="2" borderId="28" xfId="0" applyFont="1" applyFill="1" applyBorder="1" applyAlignment="1">
      <alignment horizontal="center" vertical="center"/>
    </xf>
    <xf numFmtId="0" fontId="27" fillId="2" borderId="27" xfId="0" applyFont="1" applyFill="1" applyBorder="1" applyAlignment="1">
      <alignment horizontal="center" vertical="center"/>
    </xf>
    <xf numFmtId="0" fontId="80" fillId="0" borderId="0" xfId="0" applyFont="1" applyFill="1" applyBorder="1" applyAlignment="1">
      <alignment horizontal="left" vertical="center" wrapText="1"/>
    </xf>
    <xf numFmtId="0" fontId="88" fillId="0" borderId="0" xfId="0" applyFont="1" applyBorder="1" applyAlignment="1">
      <alignment horizontal="center" wrapText="1"/>
    </xf>
    <xf numFmtId="0" fontId="85" fillId="0" borderId="0" xfId="0" applyFont="1" applyBorder="1" applyAlignment="1">
      <alignment horizontal="left" wrapText="1"/>
    </xf>
    <xf numFmtId="0" fontId="81" fillId="0" borderId="11" xfId="0" applyFont="1" applyBorder="1" applyAlignment="1">
      <alignment horizontal="right"/>
    </xf>
    <xf numFmtId="0" fontId="81" fillId="0" borderId="12" xfId="0" applyFont="1" applyBorder="1" applyAlignment="1">
      <alignment horizontal="right"/>
    </xf>
    <xf numFmtId="0" fontId="45" fillId="3" borderId="26" xfId="0" applyFont="1" applyFill="1" applyBorder="1" applyAlignment="1">
      <alignment horizontal="center" vertical="center" wrapText="1"/>
    </xf>
    <xf numFmtId="0" fontId="45" fillId="3" borderId="27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left"/>
    </xf>
    <xf numFmtId="0" fontId="14" fillId="3" borderId="28" xfId="0" applyFont="1" applyFill="1" applyBorder="1" applyAlignment="1">
      <alignment horizontal="left"/>
    </xf>
    <xf numFmtId="0" fontId="14" fillId="3" borderId="27" xfId="0" applyFont="1" applyFill="1" applyBorder="1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3" borderId="26" xfId="0" applyFont="1" applyFill="1" applyBorder="1" applyAlignment="1">
      <alignment horizontal="left" wrapText="1"/>
    </xf>
    <xf numFmtId="0" fontId="14" fillId="3" borderId="28" xfId="0" applyFont="1" applyFill="1" applyBorder="1" applyAlignment="1">
      <alignment horizontal="left" wrapText="1"/>
    </xf>
    <xf numFmtId="0" fontId="14" fillId="3" borderId="27" xfId="0" applyFont="1" applyFill="1" applyBorder="1" applyAlignment="1">
      <alignment horizontal="left" wrapText="1"/>
    </xf>
    <xf numFmtId="0" fontId="15" fillId="3" borderId="26" xfId="0" applyFont="1" applyFill="1" applyBorder="1" applyAlignment="1">
      <alignment horizontal="left" vertical="center" wrapText="1"/>
    </xf>
    <xf numFmtId="0" fontId="15" fillId="3" borderId="27" xfId="0" applyFont="1" applyFill="1" applyBorder="1" applyAlignment="1">
      <alignment horizontal="left" vertical="center" wrapText="1"/>
    </xf>
    <xf numFmtId="0" fontId="83" fillId="3" borderId="28" xfId="0" applyFont="1" applyFill="1" applyBorder="1" applyAlignment="1">
      <alignment horizontal="left"/>
    </xf>
    <xf numFmtId="0" fontId="83" fillId="3" borderId="27" xfId="0" applyFont="1" applyFill="1" applyBorder="1" applyAlignment="1">
      <alignment horizontal="left"/>
    </xf>
    <xf numFmtId="0" fontId="27" fillId="0" borderId="49" xfId="0" applyFont="1" applyBorder="1" applyAlignment="1">
      <alignment horizontal="right"/>
    </xf>
    <xf numFmtId="0" fontId="27" fillId="0" borderId="34" xfId="0" applyFont="1" applyBorder="1" applyAlignment="1">
      <alignment horizontal="right"/>
    </xf>
    <xf numFmtId="0" fontId="27" fillId="0" borderId="42" xfId="0" applyFont="1" applyBorder="1" applyAlignment="1">
      <alignment horizontal="right"/>
    </xf>
    <xf numFmtId="0" fontId="27" fillId="0" borderId="51" xfId="0" applyFont="1" applyBorder="1" applyAlignment="1">
      <alignment horizontal="right"/>
    </xf>
    <xf numFmtId="0" fontId="27" fillId="0" borderId="42" xfId="0" applyFont="1" applyBorder="1" applyAlignment="1">
      <alignment horizontal="right" wrapText="1"/>
    </xf>
    <xf numFmtId="0" fontId="27" fillId="0" borderId="51" xfId="0" applyFont="1" applyBorder="1" applyAlignment="1">
      <alignment horizontal="right" wrapText="1"/>
    </xf>
    <xf numFmtId="0" fontId="27" fillId="0" borderId="9" xfId="0" applyFont="1" applyBorder="1" applyAlignment="1">
      <alignment horizontal="right"/>
    </xf>
    <xf numFmtId="0" fontId="27" fillId="0" borderId="10" xfId="0" applyFont="1" applyBorder="1" applyAlignment="1">
      <alignment horizontal="right"/>
    </xf>
    <xf numFmtId="0" fontId="27" fillId="0" borderId="11" xfId="0" applyFont="1" applyBorder="1" applyAlignment="1">
      <alignment horizontal="right"/>
    </xf>
    <xf numFmtId="0" fontId="27" fillId="0" borderId="13" xfId="0" applyFont="1" applyBorder="1" applyAlignment="1">
      <alignment horizontal="right"/>
    </xf>
    <xf numFmtId="43" fontId="0" fillId="0" borderId="40" xfId="0" applyNumberFormat="1" applyBorder="1" applyAlignment="1">
      <alignment horizontal="center"/>
    </xf>
    <xf numFmtId="43" fontId="0" fillId="0" borderId="38" xfId="0" applyNumberFormat="1" applyBorder="1" applyAlignment="1">
      <alignment horizontal="center"/>
    </xf>
    <xf numFmtId="43" fontId="0" fillId="0" borderId="4" xfId="0" applyNumberFormat="1" applyBorder="1" applyAlignment="1">
      <alignment horizontal="center"/>
    </xf>
    <xf numFmtId="0" fontId="15" fillId="2" borderId="30" xfId="0" applyFont="1" applyFill="1" applyBorder="1" applyAlignment="1">
      <alignment horizontal="center" wrapText="1"/>
    </xf>
    <xf numFmtId="0" fontId="15" fillId="2" borderId="38" xfId="0" applyFont="1" applyFill="1" applyBorder="1" applyAlignment="1">
      <alignment horizontal="center" wrapText="1"/>
    </xf>
    <xf numFmtId="0" fontId="15" fillId="2" borderId="4" xfId="0" applyFont="1" applyFill="1" applyBorder="1" applyAlignment="1">
      <alignment horizontal="center" wrapText="1"/>
    </xf>
    <xf numFmtId="1" fontId="0" fillId="0" borderId="40" xfId="0" applyNumberFormat="1" applyBorder="1" applyAlignment="1">
      <alignment horizontal="center"/>
    </xf>
    <xf numFmtId="1" fontId="0" fillId="0" borderId="38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43" fontId="0" fillId="0" borderId="30" xfId="0" applyNumberFormat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4" xfId="0" applyBorder="1" applyAlignment="1">
      <alignment horizontal="center"/>
    </xf>
    <xf numFmtId="0" fontId="15" fillId="2" borderId="30" xfId="0" applyFont="1" applyFill="1" applyBorder="1" applyAlignment="1">
      <alignment horizontal="center"/>
    </xf>
    <xf numFmtId="0" fontId="15" fillId="2" borderId="38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5" fillId="3" borderId="26" xfId="0" applyFont="1" applyFill="1" applyBorder="1" applyAlignment="1">
      <alignment horizontal="left" wrapText="1"/>
    </xf>
    <xf numFmtId="0" fontId="15" fillId="3" borderId="28" xfId="0" applyFont="1" applyFill="1" applyBorder="1" applyAlignment="1">
      <alignment horizontal="left" wrapText="1"/>
    </xf>
    <xf numFmtId="0" fontId="15" fillId="3" borderId="27" xfId="0" applyFont="1" applyFill="1" applyBorder="1" applyAlignment="1">
      <alignment horizontal="left" wrapText="1"/>
    </xf>
    <xf numFmtId="0" fontId="15" fillId="2" borderId="26" xfId="0" applyFont="1" applyFill="1" applyBorder="1" applyAlignment="1">
      <alignment horizontal="center" vertical="center"/>
    </xf>
    <xf numFmtId="0" fontId="15" fillId="2" borderId="28" xfId="0" applyFont="1" applyFill="1" applyBorder="1" applyAlignment="1">
      <alignment horizontal="center" vertical="center"/>
    </xf>
    <xf numFmtId="0" fontId="15" fillId="2" borderId="39" xfId="0" applyFont="1" applyFill="1" applyBorder="1" applyAlignment="1">
      <alignment horizontal="center" vertical="center"/>
    </xf>
    <xf numFmtId="0" fontId="15" fillId="2" borderId="40" xfId="0" applyFont="1" applyFill="1" applyBorder="1" applyAlignment="1">
      <alignment horizontal="center" wrapText="1"/>
    </xf>
    <xf numFmtId="0" fontId="0" fillId="0" borderId="40" xfId="0" applyBorder="1" applyAlignment="1">
      <alignment horizontal="center"/>
    </xf>
    <xf numFmtId="0" fontId="15" fillId="3" borderId="26" xfId="0" applyFont="1" applyFill="1" applyBorder="1" applyAlignment="1">
      <alignment horizontal="left"/>
    </xf>
    <xf numFmtId="0" fontId="15" fillId="3" borderId="28" xfId="0" applyFont="1" applyFill="1" applyBorder="1" applyAlignment="1">
      <alignment horizontal="left"/>
    </xf>
    <xf numFmtId="0" fontId="15" fillId="3" borderId="27" xfId="0" applyFont="1" applyFill="1" applyBorder="1" applyAlignment="1">
      <alignment horizontal="left"/>
    </xf>
    <xf numFmtId="0" fontId="23" fillId="3" borderId="26" xfId="0" applyFont="1" applyFill="1" applyBorder="1" applyAlignment="1">
      <alignment horizontal="left"/>
    </xf>
    <xf numFmtId="0" fontId="23" fillId="3" borderId="28" xfId="0" applyFont="1" applyFill="1" applyBorder="1" applyAlignment="1">
      <alignment horizontal="left"/>
    </xf>
    <xf numFmtId="0" fontId="23" fillId="3" borderId="27" xfId="0" applyFont="1" applyFill="1" applyBorder="1" applyAlignment="1">
      <alignment horizontal="left"/>
    </xf>
    <xf numFmtId="0" fontId="23" fillId="2" borderId="49" xfId="0" applyFont="1" applyFill="1" applyBorder="1" applyAlignment="1">
      <alignment horizontal="center" vertical="center" wrapText="1"/>
    </xf>
    <xf numFmtId="0" fontId="23" fillId="2" borderId="33" xfId="0" applyFont="1" applyFill="1" applyBorder="1" applyAlignment="1">
      <alignment horizontal="center" vertical="center" wrapText="1"/>
    </xf>
    <xf numFmtId="0" fontId="23" fillId="2" borderId="34" xfId="0" applyFont="1" applyFill="1" applyBorder="1" applyAlignment="1">
      <alignment horizontal="center" vertical="center" wrapText="1"/>
    </xf>
    <xf numFmtId="0" fontId="23" fillId="2" borderId="26" xfId="0" applyFont="1" applyFill="1" applyBorder="1" applyAlignment="1">
      <alignment horizontal="center" vertical="center"/>
    </xf>
    <xf numFmtId="0" fontId="23" fillId="2" borderId="27" xfId="0" applyFont="1" applyFill="1" applyBorder="1" applyAlignment="1">
      <alignment horizontal="center" vertical="center"/>
    </xf>
    <xf numFmtId="0" fontId="21" fillId="4" borderId="26" xfId="0" applyFont="1" applyFill="1" applyBorder="1" applyAlignment="1">
      <alignment horizontal="left"/>
    </xf>
    <xf numFmtId="0" fontId="21" fillId="4" borderId="28" xfId="0" applyFont="1" applyFill="1" applyBorder="1" applyAlignment="1">
      <alignment horizontal="left"/>
    </xf>
    <xf numFmtId="0" fontId="23" fillId="4" borderId="49" xfId="0" applyFont="1" applyFill="1" applyBorder="1" applyAlignment="1">
      <alignment horizontal="center" vertical="center"/>
    </xf>
    <xf numFmtId="0" fontId="23" fillId="4" borderId="34" xfId="0" applyFont="1" applyFill="1" applyBorder="1" applyAlignment="1">
      <alignment horizontal="center" vertical="center"/>
    </xf>
    <xf numFmtId="0" fontId="21" fillId="2" borderId="26" xfId="0" applyFont="1" applyFill="1" applyBorder="1" applyAlignment="1">
      <alignment horizontal="center"/>
    </xf>
    <xf numFmtId="0" fontId="21" fillId="2" borderId="28" xfId="0" applyFont="1" applyFill="1" applyBorder="1" applyAlignment="1">
      <alignment horizontal="center"/>
    </xf>
    <xf numFmtId="0" fontId="21" fillId="2" borderId="27" xfId="0" applyFont="1" applyFill="1" applyBorder="1" applyAlignment="1">
      <alignment horizontal="center"/>
    </xf>
    <xf numFmtId="0" fontId="60" fillId="2" borderId="26" xfId="0" applyFont="1" applyFill="1" applyBorder="1" applyAlignment="1">
      <alignment horizontal="center"/>
    </xf>
    <xf numFmtId="0" fontId="60" fillId="2" borderId="28" xfId="0" applyFont="1" applyFill="1" applyBorder="1" applyAlignment="1">
      <alignment horizontal="center"/>
    </xf>
    <xf numFmtId="0" fontId="60" fillId="2" borderId="27" xfId="0" applyFont="1" applyFill="1" applyBorder="1" applyAlignment="1">
      <alignment horizontal="center"/>
    </xf>
    <xf numFmtId="0" fontId="55" fillId="3" borderId="26" xfId="0" applyFont="1" applyFill="1" applyBorder="1" applyAlignment="1">
      <alignment horizontal="left" vertical="center"/>
    </xf>
    <xf numFmtId="0" fontId="55" fillId="3" borderId="28" xfId="0" applyFont="1" applyFill="1" applyBorder="1" applyAlignment="1">
      <alignment horizontal="left" vertical="center"/>
    </xf>
    <xf numFmtId="0" fontId="55" fillId="3" borderId="27" xfId="0" applyFont="1" applyFill="1" applyBorder="1" applyAlignment="1">
      <alignment horizontal="left" vertical="center"/>
    </xf>
    <xf numFmtId="0" fontId="41" fillId="0" borderId="78" xfId="0" applyFont="1" applyBorder="1" applyAlignment="1">
      <alignment horizontal="left" wrapText="1"/>
    </xf>
    <xf numFmtId="0" fontId="21" fillId="4" borderId="26" xfId="0" applyFont="1" applyFill="1" applyBorder="1" applyAlignment="1">
      <alignment horizontal="left" vertical="center"/>
    </xf>
    <xf numFmtId="0" fontId="21" fillId="4" borderId="28" xfId="0" applyFont="1" applyFill="1" applyBorder="1" applyAlignment="1">
      <alignment horizontal="left" vertical="center"/>
    </xf>
    <xf numFmtId="0" fontId="21" fillId="4" borderId="27" xfId="0" applyFont="1" applyFill="1" applyBorder="1" applyAlignment="1">
      <alignment horizontal="left" vertical="center"/>
    </xf>
    <xf numFmtId="0" fontId="50" fillId="0" borderId="26" xfId="0" applyFont="1" applyBorder="1" applyAlignment="1">
      <alignment horizontal="center" vertical="center" wrapText="1"/>
    </xf>
    <xf numFmtId="0" fontId="50" fillId="0" borderId="27" xfId="0" applyFont="1" applyBorder="1" applyAlignment="1">
      <alignment horizontal="center" vertical="center" wrapText="1"/>
    </xf>
    <xf numFmtId="0" fontId="37" fillId="7" borderId="5" xfId="0" applyFont="1" applyFill="1" applyBorder="1" applyAlignment="1">
      <alignment horizontal="center" wrapText="1"/>
    </xf>
    <xf numFmtId="0" fontId="37" fillId="7" borderId="59" xfId="0" applyFont="1" applyFill="1" applyBorder="1" applyAlignment="1">
      <alignment horizontal="center" wrapText="1"/>
    </xf>
    <xf numFmtId="0" fontId="55" fillId="7" borderId="0" xfId="0" applyFont="1" applyFill="1" applyBorder="1" applyAlignment="1">
      <alignment horizontal="left" wrapText="1"/>
    </xf>
    <xf numFmtId="0" fontId="44" fillId="0" borderId="78" xfId="0" applyFont="1" applyBorder="1" applyAlignment="1">
      <alignment horizontal="right" vertical="top" wrapText="1"/>
    </xf>
    <xf numFmtId="0" fontId="66" fillId="0" borderId="0" xfId="4" applyAlignment="1">
      <alignment horizontal="left" wrapText="1"/>
    </xf>
    <xf numFmtId="0" fontId="44" fillId="0" borderId="0" xfId="0" applyFont="1" applyBorder="1" applyAlignment="1">
      <alignment horizontal="left" vertical="center" wrapText="1"/>
    </xf>
    <xf numFmtId="0" fontId="55" fillId="7" borderId="0" xfId="0" applyFont="1" applyFill="1" applyAlignment="1">
      <alignment horizontal="left" vertical="center"/>
    </xf>
    <xf numFmtId="0" fontId="55" fillId="7" borderId="71" xfId="0" applyFont="1" applyFill="1" applyBorder="1" applyAlignment="1">
      <alignment horizontal="left" vertical="center" wrapText="1"/>
    </xf>
    <xf numFmtId="0" fontId="0" fillId="0" borderId="0" xfId="0"/>
    <xf numFmtId="0" fontId="50" fillId="0" borderId="26" xfId="0" applyFont="1" applyBorder="1" applyAlignment="1">
      <alignment horizontal="right" vertical="center" wrapText="1"/>
    </xf>
    <xf numFmtId="0" fontId="50" fillId="0" borderId="28" xfId="0" applyFont="1" applyBorder="1" applyAlignment="1">
      <alignment horizontal="right" vertical="center" wrapText="1"/>
    </xf>
    <xf numFmtId="0" fontId="50" fillId="0" borderId="27" xfId="0" applyFont="1" applyBorder="1" applyAlignment="1">
      <alignment horizontal="right" vertical="center" wrapText="1"/>
    </xf>
    <xf numFmtId="0" fontId="55" fillId="7" borderId="0" xfId="0" applyFont="1" applyFill="1" applyAlignment="1">
      <alignment horizontal="left" wrapText="1"/>
    </xf>
    <xf numFmtId="0" fontId="55" fillId="7" borderId="0" xfId="0" applyFont="1" applyFill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78" xfId="0" applyBorder="1" applyAlignment="1">
      <alignment horizontal="left" wrapText="1"/>
    </xf>
    <xf numFmtId="0" fontId="44" fillId="0" borderId="78" xfId="0" applyFont="1" applyBorder="1" applyAlignment="1">
      <alignment horizontal="left" vertical="center" wrapText="1"/>
    </xf>
    <xf numFmtId="0" fontId="44" fillId="0" borderId="78" xfId="0" applyFont="1" applyBorder="1" applyAlignment="1">
      <alignment horizontal="left" vertical="top" wrapText="1"/>
    </xf>
    <xf numFmtId="0" fontId="110" fillId="19" borderId="60" xfId="8" applyFont="1" applyFill="1" applyBorder="1" applyAlignment="1">
      <alignment horizontal="center" vertical="center" wrapText="1"/>
    </xf>
    <xf numFmtId="0" fontId="110" fillId="19" borderId="62" xfId="8" applyFont="1" applyFill="1" applyBorder="1" applyAlignment="1">
      <alignment horizontal="center" vertical="center" wrapText="1"/>
    </xf>
    <xf numFmtId="0" fontId="110" fillId="19" borderId="63" xfId="8" applyFont="1" applyFill="1" applyBorder="1" applyAlignment="1">
      <alignment horizontal="center" vertical="center" wrapText="1"/>
    </xf>
    <xf numFmtId="0" fontId="110" fillId="19" borderId="64" xfId="8" applyFont="1" applyFill="1" applyBorder="1" applyAlignment="1">
      <alignment horizontal="center" vertical="center" wrapText="1"/>
    </xf>
    <xf numFmtId="0" fontId="110" fillId="19" borderId="65" xfId="8" applyFont="1" applyFill="1" applyBorder="1" applyAlignment="1">
      <alignment horizontal="center" vertical="center" wrapText="1"/>
    </xf>
    <xf numFmtId="0" fontId="110" fillId="19" borderId="67" xfId="8" applyFont="1" applyFill="1" applyBorder="1" applyAlignment="1">
      <alignment horizontal="center" vertical="center" wrapText="1"/>
    </xf>
    <xf numFmtId="0" fontId="111" fillId="20" borderId="68" xfId="7" applyFont="1" applyFill="1" applyBorder="1" applyAlignment="1">
      <alignment horizontal="center" vertical="center" wrapText="1"/>
    </xf>
    <xf numFmtId="0" fontId="111" fillId="20" borderId="70" xfId="7" applyFont="1" applyFill="1" applyBorder="1" applyAlignment="1">
      <alignment horizontal="center" vertical="center" wrapText="1"/>
    </xf>
    <xf numFmtId="0" fontId="111" fillId="20" borderId="69" xfId="7" applyFont="1" applyFill="1" applyBorder="1" applyAlignment="1">
      <alignment horizontal="center" vertical="center" wrapText="1"/>
    </xf>
    <xf numFmtId="0" fontId="110" fillId="19" borderId="68" xfId="8" applyFont="1" applyFill="1" applyBorder="1" applyAlignment="1">
      <alignment horizontal="center" vertical="center" wrapText="1"/>
    </xf>
    <xf numFmtId="0" fontId="110" fillId="19" borderId="69" xfId="8" applyFont="1" applyFill="1" applyBorder="1" applyAlignment="1">
      <alignment horizontal="center" vertical="center" wrapText="1"/>
    </xf>
    <xf numFmtId="4" fontId="111" fillId="20" borderId="68" xfId="7" applyNumberFormat="1" applyFont="1" applyFill="1" applyBorder="1" applyAlignment="1">
      <alignment horizontal="center" vertical="center" wrapText="1"/>
    </xf>
    <xf numFmtId="4" fontId="111" fillId="20" borderId="69" xfId="7" applyNumberFormat="1" applyFont="1" applyFill="1" applyBorder="1" applyAlignment="1">
      <alignment horizontal="center" vertical="center" wrapText="1"/>
    </xf>
    <xf numFmtId="0" fontId="111" fillId="18" borderId="68" xfId="6" applyFont="1" applyFill="1" applyBorder="1" applyAlignment="1">
      <alignment horizontal="center" vertical="center" wrapText="1"/>
    </xf>
    <xf numFmtId="0" fontId="111" fillId="18" borderId="69" xfId="6" applyFont="1" applyFill="1" applyBorder="1" applyAlignment="1">
      <alignment horizontal="center" vertical="center" wrapText="1"/>
    </xf>
    <xf numFmtId="4" fontId="111" fillId="18" borderId="68" xfId="6" applyNumberFormat="1" applyFont="1" applyFill="1" applyBorder="1" applyAlignment="1">
      <alignment horizontal="center" vertical="center" wrapText="1"/>
    </xf>
    <xf numFmtId="4" fontId="111" fillId="18" borderId="70" xfId="6" applyNumberFormat="1" applyFont="1" applyFill="1" applyBorder="1" applyAlignment="1">
      <alignment horizontal="center" vertical="center" wrapText="1"/>
    </xf>
    <xf numFmtId="4" fontId="111" fillId="20" borderId="70" xfId="7" applyNumberFormat="1" applyFont="1" applyFill="1" applyBorder="1" applyAlignment="1">
      <alignment horizontal="center" vertical="center" wrapText="1"/>
    </xf>
    <xf numFmtId="0" fontId="110" fillId="19" borderId="60" xfId="8" applyFont="1" applyFill="1" applyBorder="1" applyAlignment="1">
      <alignment horizontal="justify" vertical="center" wrapText="1"/>
    </xf>
    <xf numFmtId="0" fontId="110" fillId="19" borderId="65" xfId="8" applyFont="1" applyFill="1" applyBorder="1" applyAlignment="1">
      <alignment horizontal="justify" vertical="center" wrapText="1"/>
    </xf>
    <xf numFmtId="0" fontId="110" fillId="19" borderId="61" xfId="8" applyFont="1" applyFill="1" applyBorder="1" applyAlignment="1">
      <alignment horizontal="center" vertical="center" wrapText="1"/>
    </xf>
    <xf numFmtId="0" fontId="110" fillId="19" borderId="66" xfId="8" applyFont="1" applyFill="1" applyBorder="1" applyAlignment="1">
      <alignment horizontal="center" vertical="center" wrapText="1"/>
    </xf>
    <xf numFmtId="0" fontId="111" fillId="20" borderId="68" xfId="6" applyFont="1" applyFill="1" applyBorder="1" applyAlignment="1">
      <alignment horizontal="center" vertical="center" wrapText="1"/>
    </xf>
    <xf numFmtId="0" fontId="111" fillId="20" borderId="69" xfId="6" applyFont="1" applyFill="1" applyBorder="1" applyAlignment="1">
      <alignment horizontal="center" vertical="center" wrapText="1"/>
    </xf>
    <xf numFmtId="4" fontId="111" fillId="20" borderId="68" xfId="6" applyNumberFormat="1" applyFont="1" applyFill="1" applyBorder="1" applyAlignment="1">
      <alignment horizontal="center" vertical="center" wrapText="1"/>
    </xf>
    <xf numFmtId="4" fontId="111" fillId="20" borderId="69" xfId="6" applyNumberFormat="1" applyFont="1" applyFill="1" applyBorder="1" applyAlignment="1">
      <alignment horizontal="center" vertical="center" wrapText="1"/>
    </xf>
    <xf numFmtId="0" fontId="110" fillId="19" borderId="70" xfId="8" applyFont="1" applyFill="1" applyBorder="1" applyAlignment="1">
      <alignment horizontal="center" vertical="center" wrapText="1"/>
    </xf>
    <xf numFmtId="4" fontId="111" fillId="20" borderId="68" xfId="7" quotePrefix="1" applyNumberFormat="1" applyFont="1" applyFill="1" applyBorder="1" applyAlignment="1">
      <alignment horizontal="center" vertical="center" wrapText="1"/>
    </xf>
    <xf numFmtId="4" fontId="111" fillId="20" borderId="70" xfId="7" quotePrefix="1" applyNumberFormat="1" applyFont="1" applyFill="1" applyBorder="1" applyAlignment="1">
      <alignment horizontal="center" vertical="center" wrapText="1"/>
    </xf>
    <xf numFmtId="4" fontId="111" fillId="20" borderId="69" xfId="7" quotePrefix="1" applyNumberFormat="1" applyFont="1" applyFill="1" applyBorder="1" applyAlignment="1">
      <alignment horizontal="center" vertical="center" wrapText="1"/>
    </xf>
    <xf numFmtId="0" fontId="111" fillId="18" borderId="70" xfId="6" applyFont="1" applyFill="1" applyBorder="1" applyAlignment="1">
      <alignment horizontal="center" vertical="center" wrapText="1"/>
    </xf>
    <xf numFmtId="4" fontId="111" fillId="18" borderId="68" xfId="6" quotePrefix="1" applyNumberFormat="1" applyFont="1" applyFill="1" applyBorder="1" applyAlignment="1">
      <alignment horizontal="center" vertical="center" wrapText="1"/>
    </xf>
    <xf numFmtId="4" fontId="111" fillId="18" borderId="70" xfId="6" quotePrefix="1" applyNumberFormat="1" applyFont="1" applyFill="1" applyBorder="1" applyAlignment="1">
      <alignment horizontal="center" vertical="center" wrapText="1"/>
    </xf>
    <xf numFmtId="4" fontId="111" fillId="18" borderId="69" xfId="6" quotePrefix="1" applyNumberFormat="1" applyFont="1" applyFill="1" applyBorder="1" applyAlignment="1">
      <alignment horizontal="center" vertical="center" wrapText="1"/>
    </xf>
    <xf numFmtId="4" fontId="111" fillId="18" borderId="69" xfId="6" applyNumberFormat="1" applyFont="1" applyFill="1" applyBorder="1" applyAlignment="1">
      <alignment horizontal="center" vertical="center" wrapText="1"/>
    </xf>
    <xf numFmtId="0" fontId="110" fillId="19" borderId="63" xfId="8" applyFont="1" applyFill="1" applyBorder="1" applyAlignment="1">
      <alignment horizontal="justify" vertical="center" wrapText="1"/>
    </xf>
    <xf numFmtId="0" fontId="110" fillId="19" borderId="0" xfId="8" applyFont="1" applyFill="1" applyBorder="1" applyAlignment="1">
      <alignment horizontal="center" vertical="center" wrapText="1"/>
    </xf>
    <xf numFmtId="0" fontId="44" fillId="0" borderId="25" xfId="0" quotePrefix="1" applyFont="1" applyBorder="1" applyAlignment="1">
      <alignment vertical="center" wrapText="1"/>
    </xf>
    <xf numFmtId="0" fontId="23" fillId="18" borderId="1" xfId="5" applyFont="1" applyFill="1" applyBorder="1" applyAlignment="1">
      <alignment horizontal="right"/>
    </xf>
    <xf numFmtId="4" fontId="23" fillId="18" borderId="1" xfId="5" applyNumberFormat="1" applyFont="1" applyFill="1" applyBorder="1" applyAlignment="1">
      <alignment horizontal="center"/>
    </xf>
    <xf numFmtId="0" fontId="23" fillId="18" borderId="1" xfId="5" applyFont="1" applyFill="1" applyBorder="1"/>
    <xf numFmtId="0" fontId="49" fillId="0" borderId="0" xfId="0" applyFont="1"/>
    <xf numFmtId="9" fontId="1" fillId="16" borderId="1" xfId="5" applyNumberFormat="1" applyFont="1" applyFill="1" applyBorder="1"/>
    <xf numFmtId="4" fontId="1" fillId="16" borderId="1" xfId="5" applyNumberFormat="1" applyFont="1" applyFill="1" applyBorder="1"/>
    <xf numFmtId="0" fontId="1" fillId="18" borderId="1" xfId="5" applyFont="1" applyFill="1" applyBorder="1" applyAlignment="1">
      <alignment horizontal="right"/>
    </xf>
    <xf numFmtId="4" fontId="1" fillId="18" borderId="1" xfId="5" applyNumberFormat="1" applyFont="1" applyFill="1" applyBorder="1" applyAlignment="1">
      <alignment horizontal="center"/>
    </xf>
    <xf numFmtId="0" fontId="1" fillId="18" borderId="1" xfId="5" applyFont="1" applyFill="1" applyBorder="1"/>
    <xf numFmtId="9" fontId="1" fillId="16" borderId="30" xfId="5" applyNumberFormat="1" applyFont="1" applyFill="1" applyBorder="1"/>
    <xf numFmtId="4" fontId="1" fillId="16" borderId="30" xfId="5" applyNumberFormat="1" applyFont="1" applyFill="1" applyBorder="1"/>
    <xf numFmtId="4" fontId="1" fillId="16" borderId="30" xfId="5" applyNumberFormat="1" applyFont="1" applyFill="1" applyBorder="1" applyAlignment="1">
      <alignment horizontal="right"/>
    </xf>
    <xf numFmtId="0" fontId="23" fillId="18" borderId="30" xfId="5" applyFont="1" applyFill="1" applyBorder="1" applyAlignment="1">
      <alignment horizontal="right"/>
    </xf>
    <xf numFmtId="4" fontId="23" fillId="18" borderId="30" xfId="5" applyNumberFormat="1" applyFont="1" applyFill="1" applyBorder="1" applyAlignment="1">
      <alignment horizontal="center"/>
    </xf>
    <xf numFmtId="0" fontId="23" fillId="18" borderId="30" xfId="5" applyFont="1" applyFill="1" applyBorder="1"/>
    <xf numFmtId="0" fontId="1" fillId="0" borderId="25" xfId="0" applyFont="1" applyBorder="1" applyAlignment="1">
      <alignment vertical="center" wrapText="1"/>
    </xf>
  </cellXfs>
  <cellStyles count="10">
    <cellStyle name="20% — akcent 1" xfId="6" builtinId="30"/>
    <cellStyle name="40% — akcent 1" xfId="7" builtinId="31"/>
    <cellStyle name="60% — akcent 5" xfId="9" builtinId="48"/>
    <cellStyle name="Akcent 1" xfId="5" builtinId="29"/>
    <cellStyle name="Akcent 5" xfId="8" builtinId="45"/>
    <cellStyle name="Dobry" xfId="3" builtinId="26"/>
    <cellStyle name="Dziesiętny" xfId="1" builtinId="3"/>
    <cellStyle name="Normalny" xfId="0" builtinId="0"/>
    <cellStyle name="Normalny 3" xfId="4" xr:uid="{00000000-0005-0000-0000-000008000000}"/>
    <cellStyle name="Procentowy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Prąd!$I$15</c:f>
              <c:strCache>
                <c:ptCount val="1"/>
                <c:pt idx="0">
                  <c:v>Zużycie [MWh]</c:v>
                </c:pt>
              </c:strCache>
            </c:strRef>
          </c:tx>
          <c:spPr>
            <a:gradFill>
              <a:gsLst>
                <a:gs pos="100000">
                  <a:schemeClr val="accent3">
                    <a:alpha val="0"/>
                  </a:schemeClr>
                </a:gs>
                <a:gs pos="50000">
                  <a:schemeClr val="accent3"/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2.5000000000000001E-2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C9D-4325-AD6E-744FA876185F}"/>
                </c:ext>
              </c:extLst>
            </c:dLbl>
            <c:dLbl>
              <c:idx val="1"/>
              <c:layout>
                <c:manualLayout>
                  <c:x val="2.2222222222222223E-2"/>
                  <c:y val="-6.9444444444444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9D-4325-AD6E-744FA876185F}"/>
                </c:ext>
              </c:extLst>
            </c:dLbl>
            <c:dLbl>
              <c:idx val="2"/>
              <c:layout>
                <c:manualLayout>
                  <c:x val="1.9444444444444445E-2"/>
                  <c:y val="-4.1666666666666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C9D-4325-AD6E-744FA87618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Prąd!$H$17:$H$18</c:f>
              <c:numCache>
                <c:formatCode>General</c:formatCode>
                <c:ptCount val="2"/>
                <c:pt idx="0">
                  <c:v>2015</c:v>
                </c:pt>
                <c:pt idx="1">
                  <c:v>2020</c:v>
                </c:pt>
              </c:numCache>
            </c:numRef>
          </c:cat>
          <c:val>
            <c:numRef>
              <c:f>Prąd!$I$17:$I$18</c:f>
              <c:numCache>
                <c:formatCode>0.00</c:formatCode>
                <c:ptCount val="2"/>
                <c:pt idx="0">
                  <c:v>44698.612000000001</c:v>
                </c:pt>
                <c:pt idx="1">
                  <c:v>45547.885628000004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9D-4325-AD6E-744FA87618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61806784"/>
        <c:axId val="161802864"/>
        <c:axId val="162667552"/>
      </c:bar3DChart>
      <c:catAx>
        <c:axId val="161806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61802864"/>
        <c:crosses val="autoZero"/>
        <c:auto val="1"/>
        <c:lblAlgn val="ctr"/>
        <c:lblOffset val="100"/>
        <c:noMultiLvlLbl val="0"/>
      </c:catAx>
      <c:valAx>
        <c:axId val="16180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61806784"/>
        <c:crosses val="autoZero"/>
        <c:crossBetween val="between"/>
      </c:valAx>
      <c:serAx>
        <c:axId val="16266755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61802864"/>
        <c:crosses val="autoZero"/>
      </c:ser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Struktura</a:t>
            </a:r>
            <a:r>
              <a:rPr lang="pl-PL" baseline="0"/>
              <a:t> odbiorców ciepła systemowego 2015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'Ciepło systemowe'!$C$4</c:f>
              <c:strCache>
                <c:ptCount val="1"/>
              </c:strCache>
            </c:strRef>
          </c:tx>
          <c:explosion val="2"/>
          <c:dPt>
            <c:idx val="0"/>
            <c:bubble3D val="0"/>
            <c:spPr>
              <a:solidFill>
                <a:schemeClr val="accent3">
                  <a:shade val="58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2AF-46CE-A648-820A1804A575}"/>
              </c:ext>
            </c:extLst>
          </c:dPt>
          <c:dPt>
            <c:idx val="1"/>
            <c:bubble3D val="0"/>
            <c:spPr>
              <a:solidFill>
                <a:schemeClr val="accent3">
                  <a:shade val="86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2AF-46CE-A648-820A1804A575}"/>
              </c:ext>
            </c:extLst>
          </c:dPt>
          <c:dPt>
            <c:idx val="2"/>
            <c:bubble3D val="0"/>
            <c:spPr>
              <a:solidFill>
                <a:schemeClr val="accent3">
                  <a:tint val="86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2AF-46CE-A648-820A1804A575}"/>
              </c:ext>
            </c:extLst>
          </c:dPt>
          <c:dPt>
            <c:idx val="3"/>
            <c:bubble3D val="0"/>
            <c:spPr>
              <a:solidFill>
                <a:schemeClr val="accent3">
                  <a:tint val="58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2AF-46CE-A648-820A1804A57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'Ciepło systemowe'!$B$12:$B$15</c:f>
              <c:strCache>
                <c:ptCount val="4"/>
                <c:pt idx="0">
                  <c:v>Gospodarstwa domowe</c:v>
                </c:pt>
                <c:pt idx="1">
                  <c:v>Przedsiębiorstwa handlowe i usługowe</c:v>
                </c:pt>
                <c:pt idx="2">
                  <c:v>Przedsiębiorstwa przemysłowe</c:v>
                </c:pt>
                <c:pt idx="3">
                  <c:v>Jednostki budżetowe i obiekty publiczne</c:v>
                </c:pt>
              </c:strCache>
            </c:strRef>
          </c:cat>
          <c:val>
            <c:numRef>
              <c:f>'Ciepło systemowe'!$C$12:$C$15</c:f>
              <c:numCache>
                <c:formatCode>0.00%</c:formatCode>
                <c:ptCount val="4"/>
                <c:pt idx="0">
                  <c:v>0.67628893899077547</c:v>
                </c:pt>
                <c:pt idx="1">
                  <c:v>0.14258239770168746</c:v>
                </c:pt>
                <c:pt idx="2">
                  <c:v>0.16655458444977816</c:v>
                </c:pt>
                <c:pt idx="3">
                  <c:v>1.4574078857758872E-2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2AF-46CE-A648-820A1804A5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Emisja z tytułu zużycia paliw opałowych - dane łączne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'Ciepło systemowe'!$B$29</c:f>
              <c:strCache>
                <c:ptCount val="1"/>
                <c:pt idx="0">
                  <c:v>Mieszkalnictwo</c:v>
                </c:pt>
              </c:strCache>
            </c:strRef>
          </c:tx>
          <c:spPr>
            <a:solidFill>
              <a:schemeClr val="accent3">
                <a:shade val="65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'Ciepło systemowe'!$C$28:$D$28</c:f>
              <c:strCache>
                <c:ptCount val="2"/>
                <c:pt idx="0">
                  <c:v>Emisja 2015 [MG CO2]</c:v>
                </c:pt>
                <c:pt idx="1">
                  <c:v>Emisja 2020 [MG CO2] - bez inwestycji oszczędnosćiowych</c:v>
                </c:pt>
              </c:strCache>
            </c:strRef>
          </c:cat>
          <c:val>
            <c:numRef>
              <c:f>'Ciepło systemowe'!$C$29:$D$29</c:f>
              <c:numCache>
                <c:formatCode>0.00</c:formatCode>
                <c:ptCount val="2"/>
                <c:pt idx="0">
                  <c:v>42936.773690350143</c:v>
                </c:pt>
                <c:pt idx="1">
                  <c:v>44343.132694858527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69-4F09-9C49-8A2FF5A4DFD4}"/>
            </c:ext>
          </c:extLst>
        </c:ser>
        <c:ser>
          <c:idx val="1"/>
          <c:order val="1"/>
          <c:tx>
            <c:strRef>
              <c:f>'Ciepło systemowe'!$B$30</c:f>
              <c:strCache>
                <c:ptCount val="1"/>
                <c:pt idx="0">
                  <c:v>Obiekty publiczne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'Ciepło systemowe'!$C$28:$D$28</c:f>
              <c:strCache>
                <c:ptCount val="2"/>
                <c:pt idx="0">
                  <c:v>Emisja 2015 [MG CO2]</c:v>
                </c:pt>
                <c:pt idx="1">
                  <c:v>Emisja 2020 [MG CO2] - bez inwestycji oszczędnosćiowych</c:v>
                </c:pt>
              </c:strCache>
            </c:strRef>
          </c:cat>
          <c:val>
            <c:numRef>
              <c:f>'Ciepło systemowe'!$C$30:$D$30</c:f>
              <c:numCache>
                <c:formatCode>0.00</c:formatCode>
                <c:ptCount val="2"/>
                <c:pt idx="0">
                  <c:v>2955.7932900000001</c:v>
                </c:pt>
                <c:pt idx="1">
                  <c:v>2955.7932900000001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69-4F09-9C49-8A2FF5A4DFD4}"/>
            </c:ext>
          </c:extLst>
        </c:ser>
        <c:ser>
          <c:idx val="2"/>
          <c:order val="2"/>
          <c:tx>
            <c:strRef>
              <c:f>'Ciepło systemowe'!$B$31</c:f>
              <c:strCache>
                <c:ptCount val="1"/>
                <c:pt idx="0">
                  <c:v>Przedsiębiorstwa</c:v>
                </c:pt>
              </c:strCache>
            </c:strRef>
          </c:tx>
          <c:spPr>
            <a:solidFill>
              <a:schemeClr val="accent3">
                <a:tint val="65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6.0024009603841535E-2"/>
                  <c:y val="-9.25925925925934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D69-4F09-9C49-8A2FF5A4DFD4}"/>
                </c:ext>
              </c:extLst>
            </c:dLbl>
            <c:dLbl>
              <c:idx val="1"/>
              <c:layout>
                <c:manualLayout>
                  <c:x val="6.002400960384153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D69-4F09-9C49-8A2FF5A4DFD4}"/>
                </c:ext>
              </c:extLst>
            </c:dLbl>
            <c:dLbl>
              <c:idx val="2"/>
              <c:layout>
                <c:manualLayout>
                  <c:x val="5.8023209283713337E-2"/>
                  <c:y val="-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D69-4F09-9C49-8A2FF5A4DF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'Ciepło systemowe'!$C$28:$D$28</c:f>
              <c:strCache>
                <c:ptCount val="2"/>
                <c:pt idx="0">
                  <c:v>Emisja 2015 [MG CO2]</c:v>
                </c:pt>
                <c:pt idx="1">
                  <c:v>Emisja 2020 [MG CO2] - bez inwestycji oszczędnosćiowych</c:v>
                </c:pt>
              </c:strCache>
            </c:strRef>
          </c:cat>
          <c:val>
            <c:numRef>
              <c:f>'Ciepło systemowe'!$C$31:$D$31</c:f>
              <c:numCache>
                <c:formatCode>0.00</c:formatCode>
                <c:ptCount val="2"/>
                <c:pt idx="0">
                  <c:v>234.9833749999998</c:v>
                </c:pt>
                <c:pt idx="1">
                  <c:v>243.99757224837504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D69-4F09-9C49-8A2FF5A4D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3399392"/>
        <c:axId val="163399784"/>
        <c:axId val="0"/>
      </c:bar3DChart>
      <c:catAx>
        <c:axId val="1633993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63399784"/>
        <c:crosses val="autoZero"/>
        <c:auto val="1"/>
        <c:lblAlgn val="ctr"/>
        <c:lblOffset val="100"/>
        <c:noMultiLvlLbl val="0"/>
      </c:catAx>
      <c:valAx>
        <c:axId val="1633997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63399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BILANS!$H$6</c:f>
              <c:strCache>
                <c:ptCount val="1"/>
                <c:pt idx="0">
                  <c:v>2015</c:v>
                </c:pt>
              </c:strCache>
            </c:strRef>
          </c:tx>
          <c:dPt>
            <c:idx val="0"/>
            <c:bubble3D val="0"/>
            <c:spPr>
              <a:solidFill>
                <a:schemeClr val="accent3">
                  <a:shade val="53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BE1-45D8-B645-BBFAAFD6A9B3}"/>
              </c:ext>
            </c:extLst>
          </c:dPt>
          <c:dPt>
            <c:idx val="1"/>
            <c:bubble3D val="0"/>
            <c:spPr>
              <a:solidFill>
                <a:schemeClr val="accent3">
                  <a:shade val="76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BE1-45D8-B645-BBFAAFD6A9B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6BE1-45D8-B645-BBFAAFD6A9B3}"/>
              </c:ext>
            </c:extLst>
          </c:dPt>
          <c:dPt>
            <c:idx val="3"/>
            <c:bubble3D val="0"/>
            <c:spPr>
              <a:solidFill>
                <a:schemeClr val="accent3">
                  <a:tint val="77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6BE1-45D8-B645-BBFAAFD6A9B3}"/>
              </c:ext>
            </c:extLst>
          </c:dPt>
          <c:dPt>
            <c:idx val="4"/>
            <c:bubble3D val="0"/>
            <c:spPr>
              <a:solidFill>
                <a:schemeClr val="accent3">
                  <a:tint val="54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6BE1-45D8-B645-BBFAAFD6A9B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BILANS!$B$7:$B$11</c:f>
              <c:strCache>
                <c:ptCount val="5"/>
                <c:pt idx="0">
                  <c:v>energia elektryczna</c:v>
                </c:pt>
                <c:pt idx="1">
                  <c:v>gaz</c:v>
                </c:pt>
                <c:pt idx="2">
                  <c:v>paliwa transportowe</c:v>
                </c:pt>
                <c:pt idx="3">
                  <c:v>paliwa opałowe</c:v>
                </c:pt>
                <c:pt idx="4">
                  <c:v>ciepło systemowe</c:v>
                </c:pt>
              </c:strCache>
            </c:strRef>
          </c:cat>
          <c:val>
            <c:numRef>
              <c:f>BILANS!$H$7:$H$11</c:f>
              <c:numCache>
                <c:formatCode>0.00%</c:formatCode>
                <c:ptCount val="5"/>
                <c:pt idx="0">
                  <c:v>0.27078190575588434</c:v>
                </c:pt>
                <c:pt idx="1">
                  <c:v>6.1317856860720818E-2</c:v>
                </c:pt>
                <c:pt idx="2">
                  <c:v>0.3748247894914653</c:v>
                </c:pt>
                <c:pt idx="3">
                  <c:v>0.27337230469719287</c:v>
                </c:pt>
                <c:pt idx="4">
                  <c:v>1.9703143194736573E-2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BE1-45D8-B645-BBFAAFD6A9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BILANS!$J$6</c:f>
              <c:strCache>
                <c:ptCount val="1"/>
                <c:pt idx="0">
                  <c:v>prognoza 2020 z inwestycjami oszczędnościowymi*</c:v>
                </c:pt>
              </c:strCache>
            </c:strRef>
          </c:tx>
          <c:dPt>
            <c:idx val="0"/>
            <c:bubble3D val="0"/>
            <c:spPr>
              <a:solidFill>
                <a:schemeClr val="accent3">
                  <a:shade val="53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144-4A5E-8299-C8702F6EF3A5}"/>
              </c:ext>
            </c:extLst>
          </c:dPt>
          <c:dPt>
            <c:idx val="1"/>
            <c:bubble3D val="0"/>
            <c:spPr>
              <a:solidFill>
                <a:schemeClr val="accent3">
                  <a:shade val="76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144-4A5E-8299-C8702F6EF3A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144-4A5E-8299-C8702F6EF3A5}"/>
              </c:ext>
            </c:extLst>
          </c:dPt>
          <c:dPt>
            <c:idx val="3"/>
            <c:bubble3D val="0"/>
            <c:spPr>
              <a:solidFill>
                <a:schemeClr val="accent3">
                  <a:tint val="77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E144-4A5E-8299-C8702F6EF3A5}"/>
              </c:ext>
            </c:extLst>
          </c:dPt>
          <c:dPt>
            <c:idx val="4"/>
            <c:bubble3D val="0"/>
            <c:spPr>
              <a:solidFill>
                <a:schemeClr val="accent3">
                  <a:tint val="54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E144-4A5E-8299-C8702F6EF3A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BILANS!$B$7:$B$11</c:f>
              <c:strCache>
                <c:ptCount val="5"/>
                <c:pt idx="0">
                  <c:v>energia elektryczna</c:v>
                </c:pt>
                <c:pt idx="1">
                  <c:v>gaz</c:v>
                </c:pt>
                <c:pt idx="2">
                  <c:v>paliwa transportowe</c:v>
                </c:pt>
                <c:pt idx="3">
                  <c:v>paliwa opałowe</c:v>
                </c:pt>
                <c:pt idx="4">
                  <c:v>ciepło systemowe</c:v>
                </c:pt>
              </c:strCache>
            </c:strRef>
          </c:cat>
          <c:val>
            <c:numRef>
              <c:f>BILANS!$J$7:$J$11</c:f>
              <c:numCache>
                <c:formatCode>0.00%</c:formatCode>
                <c:ptCount val="5"/>
                <c:pt idx="0">
                  <c:v>0.26637797002154884</c:v>
                </c:pt>
                <c:pt idx="1">
                  <c:v>6.3630491818944368E-2</c:v>
                </c:pt>
                <c:pt idx="2">
                  <c:v>0.37943191411466487</c:v>
                </c:pt>
                <c:pt idx="3">
                  <c:v>0.27011336652628715</c:v>
                </c:pt>
                <c:pt idx="4">
                  <c:v>2.0446257518554719E-2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144-4A5E-8299-C8702F6EF3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BILANS!$I$6</c:f>
              <c:strCache>
                <c:ptCount val="1"/>
                <c:pt idx="0">
                  <c:v>prognoza 2020 bez inwestycji oszczędnościowych</c:v>
                </c:pt>
              </c:strCache>
            </c:strRef>
          </c:tx>
          <c:dPt>
            <c:idx val="0"/>
            <c:bubble3D val="0"/>
            <c:spPr>
              <a:solidFill>
                <a:schemeClr val="accent3">
                  <a:shade val="53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58D-4706-9642-9480BF3A92F3}"/>
              </c:ext>
            </c:extLst>
          </c:dPt>
          <c:dPt>
            <c:idx val="1"/>
            <c:bubble3D val="0"/>
            <c:spPr>
              <a:solidFill>
                <a:schemeClr val="accent3">
                  <a:shade val="76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B58D-4706-9642-9480BF3A92F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B58D-4706-9642-9480BF3A92F3}"/>
              </c:ext>
            </c:extLst>
          </c:dPt>
          <c:dPt>
            <c:idx val="3"/>
            <c:bubble3D val="0"/>
            <c:spPr>
              <a:solidFill>
                <a:schemeClr val="accent3">
                  <a:tint val="77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B58D-4706-9642-9480BF3A92F3}"/>
              </c:ext>
            </c:extLst>
          </c:dPt>
          <c:dPt>
            <c:idx val="4"/>
            <c:bubble3D val="0"/>
            <c:spPr>
              <a:solidFill>
                <a:schemeClr val="accent3">
                  <a:tint val="54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B58D-4706-9642-9480BF3A92F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BILANS!$B$7:$B$11</c:f>
              <c:strCache>
                <c:ptCount val="5"/>
                <c:pt idx="0">
                  <c:v>energia elektryczna</c:v>
                </c:pt>
                <c:pt idx="1">
                  <c:v>gaz</c:v>
                </c:pt>
                <c:pt idx="2">
                  <c:v>paliwa transportowe</c:v>
                </c:pt>
                <c:pt idx="3">
                  <c:v>paliwa opałowe</c:v>
                </c:pt>
                <c:pt idx="4">
                  <c:v>ciepło systemowe</c:v>
                </c:pt>
              </c:strCache>
            </c:strRef>
          </c:cat>
          <c:val>
            <c:numRef>
              <c:f>BILANS!$I$7:$I$11</c:f>
              <c:numCache>
                <c:formatCode>0.00%</c:formatCode>
                <c:ptCount val="5"/>
                <c:pt idx="0">
                  <c:v>0.25482939347532174</c:v>
                </c:pt>
                <c:pt idx="1">
                  <c:v>5.6251575974734014E-2</c:v>
                </c:pt>
                <c:pt idx="2">
                  <c:v>0.40925566095611687</c:v>
                </c:pt>
                <c:pt idx="3">
                  <c:v>0.26079892546871775</c:v>
                </c:pt>
                <c:pt idx="4">
                  <c:v>1.8864444125109573E-2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58D-4706-9642-9480BF3A92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959492563429571"/>
          <c:y val="6.9444444444444448E-2"/>
          <c:w val="0.67521675415573057"/>
          <c:h val="0.841674686497521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Prąd!$J$15</c:f>
              <c:strCache>
                <c:ptCount val="1"/>
                <c:pt idx="0">
                  <c:v>Emisja [Mg CO2]</c:v>
                </c:pt>
              </c:strCache>
            </c:strRef>
          </c:tx>
          <c:spPr>
            <a:gradFill>
              <a:gsLst>
                <a:gs pos="100000">
                  <a:schemeClr val="accent3">
                    <a:tint val="77000"/>
                    <a:alpha val="0"/>
                  </a:schemeClr>
                </a:gs>
                <a:gs pos="50000">
                  <a:schemeClr val="accent3">
                    <a:tint val="77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Prąd!$H$17:$H$18</c:f>
              <c:numCache>
                <c:formatCode>General</c:formatCode>
                <c:ptCount val="2"/>
                <c:pt idx="0">
                  <c:v>2015</c:v>
                </c:pt>
                <c:pt idx="1">
                  <c:v>2020</c:v>
                </c:pt>
              </c:numCache>
            </c:numRef>
          </c:cat>
          <c:val>
            <c:numRef>
              <c:f>Prąd!$J$17:$J$18</c:f>
              <c:numCache>
                <c:formatCode>0.00</c:formatCode>
                <c:ptCount val="2"/>
                <c:pt idx="0">
                  <c:v>39781.76468</c:v>
                </c:pt>
                <c:pt idx="1">
                  <c:v>40537.618208920008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5B-4CA0-BA04-250E89A5F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61808744"/>
        <c:axId val="161802472"/>
        <c:axId val="163246432"/>
      </c:bar3DChart>
      <c:catAx>
        <c:axId val="16180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61802472"/>
        <c:crosses val="autoZero"/>
        <c:auto val="1"/>
        <c:lblAlgn val="ctr"/>
        <c:lblOffset val="100"/>
        <c:noMultiLvlLbl val="0"/>
      </c:catAx>
      <c:valAx>
        <c:axId val="161802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61808744"/>
        <c:crosses val="autoZero"/>
        <c:crossBetween val="between"/>
      </c:valAx>
      <c:serAx>
        <c:axId val="1632464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61802472"/>
        <c:crosses val="autoZero"/>
      </c:ser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4.1666666666666664E-2"/>
                  <c:y val="-6.02688919796013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C0A-4073-BC0C-F17C17A27126}"/>
                </c:ext>
              </c:extLst>
            </c:dLbl>
            <c:dLbl>
              <c:idx val="1"/>
              <c:layout>
                <c:manualLayout>
                  <c:x val="3.888888888888889E-2"/>
                  <c:y val="-4.17246175243393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0A-4073-BC0C-F17C17A27126}"/>
                </c:ext>
              </c:extLst>
            </c:dLbl>
            <c:dLbl>
              <c:idx val="2"/>
              <c:layout>
                <c:manualLayout>
                  <c:x val="3.6111111111111212E-2"/>
                  <c:y val="-4.17246175243393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C0A-4073-BC0C-F17C17A271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Gaz!$I$10:$I$11</c:f>
              <c:numCache>
                <c:formatCode>General</c:formatCode>
                <c:ptCount val="2"/>
                <c:pt idx="0">
                  <c:v>2015</c:v>
                </c:pt>
                <c:pt idx="1">
                  <c:v>2020</c:v>
                </c:pt>
              </c:numCache>
            </c:numRef>
          </c:cat>
          <c:val>
            <c:numRef>
              <c:f>Gaz!$J$10:$J$11</c:f>
              <c:numCache>
                <c:formatCode>0.00</c:formatCode>
                <c:ptCount val="2"/>
                <c:pt idx="0">
                  <c:v>6762.5706362499986</c:v>
                </c:pt>
                <c:pt idx="1">
                  <c:v>6696.060648885712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C0A-4073-BC0C-F17C17A271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3402920"/>
        <c:axId val="163396648"/>
        <c:axId val="0"/>
      </c:bar3DChart>
      <c:catAx>
        <c:axId val="163402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63396648"/>
        <c:crosses val="autoZero"/>
        <c:auto val="1"/>
        <c:lblAlgn val="ctr"/>
        <c:lblOffset val="100"/>
        <c:noMultiLvlLbl val="0"/>
      </c:catAx>
      <c:valAx>
        <c:axId val="163396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63402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4.1666666666666664E-2"/>
                  <c:y val="-6.02688919796013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AB3-487C-9B4D-FD94224D9C95}"/>
                </c:ext>
              </c:extLst>
            </c:dLbl>
            <c:dLbl>
              <c:idx val="1"/>
              <c:layout>
                <c:manualLayout>
                  <c:x val="3.888888888888889E-2"/>
                  <c:y val="-4.17246175243393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B3-487C-9B4D-FD94224D9C95}"/>
                </c:ext>
              </c:extLst>
            </c:dLbl>
            <c:dLbl>
              <c:idx val="2"/>
              <c:layout>
                <c:manualLayout>
                  <c:x val="3.6111111111111212E-2"/>
                  <c:y val="-4.17246175243393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AB3-487C-9B4D-FD94224D9C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Gaz!$I$10:$I$11</c:f>
              <c:numCache>
                <c:formatCode>General</c:formatCode>
                <c:ptCount val="2"/>
                <c:pt idx="0">
                  <c:v>2015</c:v>
                </c:pt>
                <c:pt idx="1">
                  <c:v>2020</c:v>
                </c:pt>
              </c:numCache>
            </c:numRef>
          </c:cat>
          <c:val>
            <c:numRef>
              <c:f>Gaz!$K$10:$K$11</c:f>
              <c:numCache>
                <c:formatCode>_(* #,##0.00_);_(* \(#,##0.00\);_(* "-"??_);_(@_)</c:formatCode>
                <c:ptCount val="2"/>
                <c:pt idx="0">
                  <c:v>3463544.4999999995</c:v>
                </c:pt>
                <c:pt idx="1">
                  <c:v>3429480.4859849997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B3-487C-9B4D-FD94224D9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3401352"/>
        <c:axId val="163402136"/>
        <c:axId val="0"/>
      </c:bar3DChart>
      <c:catAx>
        <c:axId val="163401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63402136"/>
        <c:crosses val="autoZero"/>
        <c:auto val="1"/>
        <c:lblAlgn val="ctr"/>
        <c:lblOffset val="100"/>
        <c:noMultiLvlLbl val="0"/>
      </c:catAx>
      <c:valAx>
        <c:axId val="163402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63401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2773959194327229E-2"/>
          <c:y val="9.8214317142625834E-3"/>
          <c:w val="0.87302714577804841"/>
          <c:h val="0.87830154210065015"/>
        </c:manualLayout>
      </c:layout>
      <c:bar3DChart>
        <c:barDir val="col"/>
        <c:grouping val="percentStacked"/>
        <c:varyColors val="0"/>
        <c:ser>
          <c:idx val="0"/>
          <c:order val="0"/>
          <c:tx>
            <c:strRef>
              <c:f>Tranzyt!$K$14</c:f>
              <c:strCache>
                <c:ptCount val="1"/>
                <c:pt idx="0">
                  <c:v>Tranzyt</c:v>
                </c:pt>
              </c:strCache>
            </c:strRef>
          </c:tx>
          <c:spPr>
            <a:solidFill>
              <a:schemeClr val="accent3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Tranzyt!$L$13:$M$13</c:f>
              <c:strCache>
                <c:ptCount val="2"/>
                <c:pt idx="0">
                  <c:v>Emisja CO2 [Mg CO2] w 2015 roku</c:v>
                </c:pt>
                <c:pt idx="1">
                  <c:v>Emisja CO2 [Mg CO2] w 2020 roku - prognoza</c:v>
                </c:pt>
              </c:strCache>
            </c:strRef>
          </c:cat>
          <c:val>
            <c:numRef>
              <c:f>Tranzyt!$L$14:$M$14</c:f>
              <c:numCache>
                <c:formatCode>_(* #,##0.00_);_(* \(#,##0.00\);_(* "-"??_);_(@_)</c:formatCode>
                <c:ptCount val="2"/>
                <c:pt idx="0">
                  <c:v>21911.821528749999</c:v>
                </c:pt>
                <c:pt idx="1">
                  <c:v>26175.877108061643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AC-469F-B021-FA4BE45135C7}"/>
            </c:ext>
          </c:extLst>
        </c:ser>
        <c:ser>
          <c:idx val="1"/>
          <c:order val="1"/>
          <c:tx>
            <c:strRef>
              <c:f>Tranzyt!$K$15</c:f>
              <c:strCache>
                <c:ptCount val="1"/>
                <c:pt idx="0">
                  <c:v>Ruch lokalny</c:v>
                </c:pt>
              </c:strCache>
            </c:strRef>
          </c:tx>
          <c:spPr>
            <a:solidFill>
              <a:schemeClr val="accent3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Tranzyt!$L$13:$M$13</c:f>
              <c:strCache>
                <c:ptCount val="2"/>
                <c:pt idx="0">
                  <c:v>Emisja CO2 [Mg CO2] w 2015 roku</c:v>
                </c:pt>
                <c:pt idx="1">
                  <c:v>Emisja CO2 [Mg CO2] w 2020 roku - prognoza</c:v>
                </c:pt>
              </c:strCache>
            </c:strRef>
          </c:cat>
          <c:val>
            <c:numRef>
              <c:f>Tranzyt!$L$15:$M$15</c:f>
              <c:numCache>
                <c:formatCode>_(* #,##0.00_);_(* \(#,##0.00\);_(* "-"??_);_(@_)</c:formatCode>
                <c:ptCount val="2"/>
                <c:pt idx="0">
                  <c:v>34706.210444570068</c:v>
                </c:pt>
                <c:pt idx="1">
                  <c:v>40726.815172232804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AC-469F-B021-FA4BE4513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3397040"/>
        <c:axId val="163398216"/>
        <c:axId val="0"/>
      </c:bar3DChart>
      <c:catAx>
        <c:axId val="163397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63398216"/>
        <c:crosses val="autoZero"/>
        <c:auto val="1"/>
        <c:lblAlgn val="ctr"/>
        <c:lblOffset val="100"/>
        <c:noMultiLvlLbl val="0"/>
      </c:catAx>
      <c:valAx>
        <c:axId val="16339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63397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3">
                  <a:shade val="42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1B4-4B17-80A7-F5C0FC148721}"/>
              </c:ext>
            </c:extLst>
          </c:dPt>
          <c:dPt>
            <c:idx val="1"/>
            <c:bubble3D val="0"/>
            <c:spPr>
              <a:solidFill>
                <a:schemeClr val="accent3">
                  <a:shade val="5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1B4-4B17-80A7-F5C0FC148721}"/>
              </c:ext>
            </c:extLst>
          </c:dPt>
          <c:dPt>
            <c:idx val="2"/>
            <c:bubble3D val="0"/>
            <c:spPr>
              <a:solidFill>
                <a:schemeClr val="accent3">
                  <a:shade val="68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A1B4-4B17-80A7-F5C0FC148721}"/>
              </c:ext>
            </c:extLst>
          </c:dPt>
          <c:dPt>
            <c:idx val="3"/>
            <c:bubble3D val="0"/>
            <c:spPr>
              <a:solidFill>
                <a:schemeClr val="accent3">
                  <a:shade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A1B4-4B17-80A7-F5C0FC148721}"/>
              </c:ext>
            </c:extLst>
          </c:dPt>
          <c:dPt>
            <c:idx val="4"/>
            <c:bubble3D val="0"/>
            <c:spPr>
              <a:solidFill>
                <a:schemeClr val="accent3">
                  <a:shade val="93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A1B4-4B17-80A7-F5C0FC148721}"/>
              </c:ext>
            </c:extLst>
          </c:dPt>
          <c:dPt>
            <c:idx val="5"/>
            <c:bubble3D val="0"/>
            <c:spPr>
              <a:solidFill>
                <a:schemeClr val="accent3">
                  <a:tint val="94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A1B4-4B17-80A7-F5C0FC148721}"/>
              </c:ext>
            </c:extLst>
          </c:dPt>
          <c:dPt>
            <c:idx val="6"/>
            <c:bubble3D val="0"/>
            <c:spPr>
              <a:solidFill>
                <a:schemeClr val="accent3">
                  <a:tint val="81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A1B4-4B17-80A7-F5C0FC148721}"/>
              </c:ext>
            </c:extLst>
          </c:dPt>
          <c:dPt>
            <c:idx val="7"/>
            <c:bubble3D val="0"/>
            <c:spPr>
              <a:solidFill>
                <a:schemeClr val="accent3">
                  <a:tint val="69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A1B4-4B17-80A7-F5C0FC148721}"/>
              </c:ext>
            </c:extLst>
          </c:dPt>
          <c:dPt>
            <c:idx val="8"/>
            <c:bubble3D val="0"/>
            <c:spPr>
              <a:solidFill>
                <a:schemeClr val="accent3">
                  <a:tint val="56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A1B4-4B17-80A7-F5C0FC148721}"/>
              </c:ext>
            </c:extLst>
          </c:dPt>
          <c:dPt>
            <c:idx val="9"/>
            <c:bubble3D val="0"/>
            <c:spPr>
              <a:solidFill>
                <a:schemeClr val="accent3">
                  <a:tint val="43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A1B4-4B17-80A7-F5C0FC1487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Tranzyt!$K$6:$K$8</c:f>
              <c:strCache>
                <c:ptCount val="2"/>
                <c:pt idx="0">
                  <c:v>DK nr 12</c:v>
                </c:pt>
                <c:pt idx="1">
                  <c:v>DW nr 297</c:v>
                </c:pt>
              </c:strCache>
            </c:strRef>
          </c:cat>
          <c:val>
            <c:numRef>
              <c:f>Tranzyt!$L$6:$L$8</c:f>
              <c:numCache>
                <c:formatCode>_(* #,##0.00_);_(* \(#,##0.00\);_(* "-"??_);_(@_)</c:formatCode>
                <c:ptCount val="3"/>
                <c:pt idx="0">
                  <c:v>14685.022278750001</c:v>
                </c:pt>
                <c:pt idx="1">
                  <c:v>7226.7992499999991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1B4-4B17-80A7-F5C0FC148721}"/>
            </c:ext>
          </c:extLst>
        </c:ser>
        <c:ser>
          <c:idx val="2"/>
          <c:order val="1"/>
          <c:dPt>
            <c:idx val="0"/>
            <c:bubble3D val="0"/>
            <c:spPr>
              <a:solidFill>
                <a:schemeClr val="accent3">
                  <a:shade val="42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6-A1B4-4B17-80A7-F5C0FC148721}"/>
              </c:ext>
            </c:extLst>
          </c:dPt>
          <c:dPt>
            <c:idx val="1"/>
            <c:bubble3D val="0"/>
            <c:spPr>
              <a:solidFill>
                <a:schemeClr val="accent3">
                  <a:shade val="5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8-A1B4-4B17-80A7-F5C0FC148721}"/>
              </c:ext>
            </c:extLst>
          </c:dPt>
          <c:dPt>
            <c:idx val="2"/>
            <c:bubble3D val="0"/>
            <c:spPr>
              <a:solidFill>
                <a:schemeClr val="accent3">
                  <a:shade val="68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A-A1B4-4B17-80A7-F5C0FC148721}"/>
              </c:ext>
            </c:extLst>
          </c:dPt>
          <c:cat>
            <c:strRef>
              <c:f>Tranzyt!$K$6:$K$8</c:f>
              <c:strCache>
                <c:ptCount val="2"/>
                <c:pt idx="0">
                  <c:v>DK nr 12</c:v>
                </c:pt>
                <c:pt idx="1">
                  <c:v>DW nr 297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16499.746525000002</c:v>
              </c:pt>
              <c:pt idx="1">
                <c:v>2184.3370249999998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B-A1B4-4B17-80A7-F5C0FC148721}"/>
            </c:ext>
          </c:extLst>
        </c:ser>
        <c:ser>
          <c:idx val="0"/>
          <c:order val="2"/>
          <c:dPt>
            <c:idx val="0"/>
            <c:bubble3D val="0"/>
            <c:spPr>
              <a:solidFill>
                <a:schemeClr val="accent3">
                  <a:shade val="42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D-A1B4-4B17-80A7-F5C0FC148721}"/>
              </c:ext>
            </c:extLst>
          </c:dPt>
          <c:dPt>
            <c:idx val="1"/>
            <c:bubble3D val="0"/>
            <c:spPr>
              <a:solidFill>
                <a:schemeClr val="accent3">
                  <a:shade val="5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F-A1B4-4B17-80A7-F5C0FC148721}"/>
              </c:ext>
            </c:extLst>
          </c:dPt>
          <c:dPt>
            <c:idx val="2"/>
            <c:bubble3D val="0"/>
            <c:spPr>
              <a:solidFill>
                <a:schemeClr val="accent3">
                  <a:shade val="68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1-A1B4-4B17-80A7-F5C0FC1487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Tranzyt!$K$6:$K$8</c:f>
              <c:strCache>
                <c:ptCount val="2"/>
                <c:pt idx="0">
                  <c:v>DK nr 12</c:v>
                </c:pt>
                <c:pt idx="1">
                  <c:v>DW nr 297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16499.746525000002</c:v>
              </c:pt>
              <c:pt idx="1">
                <c:v>2184.3370249999998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A1B4-4B17-80A7-F5C0FC1487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3">
                  <a:shade val="42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876-4F93-923C-B393E3791C32}"/>
              </c:ext>
            </c:extLst>
          </c:dPt>
          <c:dPt>
            <c:idx val="1"/>
            <c:bubble3D val="0"/>
            <c:spPr>
              <a:solidFill>
                <a:schemeClr val="accent3">
                  <a:shade val="5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876-4F93-923C-B393E3791C32}"/>
              </c:ext>
            </c:extLst>
          </c:dPt>
          <c:dPt>
            <c:idx val="2"/>
            <c:bubble3D val="0"/>
            <c:spPr>
              <a:solidFill>
                <a:schemeClr val="accent3">
                  <a:shade val="68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A876-4F93-923C-B393E3791C32}"/>
              </c:ext>
            </c:extLst>
          </c:dPt>
          <c:dPt>
            <c:idx val="3"/>
            <c:bubble3D val="0"/>
            <c:spPr>
              <a:solidFill>
                <a:schemeClr val="accent3">
                  <a:shade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A876-4F93-923C-B393E3791C32}"/>
              </c:ext>
            </c:extLst>
          </c:dPt>
          <c:dPt>
            <c:idx val="4"/>
            <c:bubble3D val="0"/>
            <c:spPr>
              <a:solidFill>
                <a:schemeClr val="accent3">
                  <a:shade val="93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A876-4F93-923C-B393E3791C32}"/>
              </c:ext>
            </c:extLst>
          </c:dPt>
          <c:dPt>
            <c:idx val="5"/>
            <c:bubble3D val="0"/>
            <c:spPr>
              <a:solidFill>
                <a:schemeClr val="accent3">
                  <a:tint val="94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A876-4F93-923C-B393E3791C32}"/>
              </c:ext>
            </c:extLst>
          </c:dPt>
          <c:dPt>
            <c:idx val="6"/>
            <c:bubble3D val="0"/>
            <c:spPr>
              <a:solidFill>
                <a:schemeClr val="accent3">
                  <a:tint val="81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A876-4F93-923C-B393E3791C32}"/>
              </c:ext>
            </c:extLst>
          </c:dPt>
          <c:dPt>
            <c:idx val="7"/>
            <c:bubble3D val="0"/>
            <c:spPr>
              <a:solidFill>
                <a:schemeClr val="accent3">
                  <a:tint val="69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A876-4F93-923C-B393E3791C32}"/>
              </c:ext>
            </c:extLst>
          </c:dPt>
          <c:dPt>
            <c:idx val="8"/>
            <c:bubble3D val="0"/>
            <c:spPr>
              <a:solidFill>
                <a:schemeClr val="accent3">
                  <a:tint val="56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A876-4F93-923C-B393E3791C32}"/>
              </c:ext>
            </c:extLst>
          </c:dPt>
          <c:dPt>
            <c:idx val="9"/>
            <c:bubble3D val="0"/>
            <c:spPr>
              <a:solidFill>
                <a:schemeClr val="accent3">
                  <a:tint val="43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A876-4F93-923C-B393E3791C3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Tranzyt!$K$6:$K$8</c:f>
              <c:strCache>
                <c:ptCount val="2"/>
                <c:pt idx="0">
                  <c:v>DK nr 12</c:v>
                </c:pt>
                <c:pt idx="1">
                  <c:v>DW nr 297</c:v>
                </c:pt>
              </c:strCache>
            </c:strRef>
          </c:cat>
          <c:val>
            <c:numRef>
              <c:f>Tranzyt!$M$6:$M$8</c:f>
              <c:numCache>
                <c:formatCode>_(* #,##0.00_);_(* \(#,##0.00\);_(* "-"??_);_(@_)</c:formatCode>
                <c:ptCount val="3"/>
                <c:pt idx="0">
                  <c:v>17561.11282640629</c:v>
                </c:pt>
                <c:pt idx="1">
                  <c:v>8614.7642816553544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876-4F93-923C-B393E3791C32}"/>
            </c:ext>
          </c:extLst>
        </c:ser>
        <c:ser>
          <c:idx val="2"/>
          <c:order val="1"/>
          <c:dPt>
            <c:idx val="0"/>
            <c:bubble3D val="0"/>
            <c:spPr>
              <a:solidFill>
                <a:schemeClr val="accent3">
                  <a:shade val="42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6-A876-4F93-923C-B393E3791C32}"/>
              </c:ext>
            </c:extLst>
          </c:dPt>
          <c:dPt>
            <c:idx val="1"/>
            <c:bubble3D val="0"/>
            <c:spPr>
              <a:solidFill>
                <a:schemeClr val="accent3">
                  <a:shade val="5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8-A876-4F93-923C-B393E3791C32}"/>
              </c:ext>
            </c:extLst>
          </c:dPt>
          <c:dPt>
            <c:idx val="2"/>
            <c:bubble3D val="0"/>
            <c:spPr>
              <a:solidFill>
                <a:schemeClr val="accent3">
                  <a:shade val="68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A-A876-4F93-923C-B393E3791C32}"/>
              </c:ext>
            </c:extLst>
          </c:dPt>
          <c:cat>
            <c:strRef>
              <c:f>Tranzyt!$K$6:$K$8</c:f>
              <c:strCache>
                <c:ptCount val="2"/>
                <c:pt idx="0">
                  <c:v>DK nr 12</c:v>
                </c:pt>
                <c:pt idx="1">
                  <c:v>DW nr 297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16499.746525000002</c:v>
              </c:pt>
              <c:pt idx="1">
                <c:v>2184.3370249999998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B-A876-4F93-923C-B393E3791C32}"/>
            </c:ext>
          </c:extLst>
        </c:ser>
        <c:ser>
          <c:idx val="0"/>
          <c:order val="2"/>
          <c:dPt>
            <c:idx val="0"/>
            <c:bubble3D val="0"/>
            <c:spPr>
              <a:solidFill>
                <a:schemeClr val="accent3">
                  <a:shade val="42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D-A876-4F93-923C-B393E3791C32}"/>
              </c:ext>
            </c:extLst>
          </c:dPt>
          <c:dPt>
            <c:idx val="1"/>
            <c:bubble3D val="0"/>
            <c:spPr>
              <a:solidFill>
                <a:schemeClr val="accent3">
                  <a:shade val="5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F-A876-4F93-923C-B393E3791C32}"/>
              </c:ext>
            </c:extLst>
          </c:dPt>
          <c:dPt>
            <c:idx val="2"/>
            <c:bubble3D val="0"/>
            <c:spPr>
              <a:solidFill>
                <a:schemeClr val="accent3">
                  <a:shade val="68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1-A876-4F93-923C-B393E3791C3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Tranzyt!$K$6:$K$8</c:f>
              <c:strCache>
                <c:ptCount val="2"/>
                <c:pt idx="0">
                  <c:v>DK nr 12</c:v>
                </c:pt>
                <c:pt idx="1">
                  <c:v>DW nr 297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16499.746525000002</c:v>
              </c:pt>
              <c:pt idx="1">
                <c:v>2184.3370249999998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A876-4F93-923C-B393E3791C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l-PL" sz="1100">
                <a:solidFill>
                  <a:sysClr val="windowText" lastClr="000000"/>
                </a:solidFill>
              </a:rPr>
              <a:t>Emisja CO2 [Mg] - oświetlenie uliczne w zależności od mocy oprawy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Oświetlenie!$I$24</c:f>
              <c:strCache>
                <c:ptCount val="1"/>
                <c:pt idx="0">
                  <c:v>Emisja CO2 [Mg CO2]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3">
                      <a:shade val="65000"/>
                      <a:shade val="51000"/>
                      <a:satMod val="130000"/>
                    </a:schemeClr>
                  </a:gs>
                  <a:gs pos="80000">
                    <a:schemeClr val="accent3">
                      <a:shade val="65000"/>
                      <a:shade val="93000"/>
                      <a:satMod val="130000"/>
                    </a:schemeClr>
                  </a:gs>
                  <a:gs pos="100000">
                    <a:schemeClr val="accent3">
                      <a:shade val="65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8F6-4855-BAE2-0B8998066A8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8F6-4855-BAE2-0B8998066A8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tint val="65000"/>
                      <a:shade val="51000"/>
                      <a:satMod val="130000"/>
                    </a:schemeClr>
                  </a:gs>
                  <a:gs pos="80000">
                    <a:schemeClr val="accent3">
                      <a:tint val="65000"/>
                      <a:shade val="93000"/>
                      <a:satMod val="130000"/>
                    </a:schemeClr>
                  </a:gs>
                  <a:gs pos="100000">
                    <a:schemeClr val="accent3">
                      <a:tint val="65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8F6-4855-BAE2-0B8998066A82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3">
                      <a:tint val="58000"/>
                      <a:shade val="51000"/>
                      <a:satMod val="130000"/>
                    </a:schemeClr>
                  </a:gs>
                  <a:gs pos="80000">
                    <a:schemeClr val="accent3">
                      <a:tint val="58000"/>
                      <a:shade val="93000"/>
                      <a:satMod val="130000"/>
                    </a:schemeClr>
                  </a:gs>
                  <a:gs pos="100000">
                    <a:schemeClr val="accent3">
                      <a:tint val="58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D8F6-4855-BAE2-0B8998066A82}"/>
              </c:ext>
            </c:extLst>
          </c:dPt>
          <c:dLbls>
            <c:dLbl>
              <c:idx val="0"/>
              <c:layout>
                <c:manualLayout>
                  <c:x val="1.0813733441470668E-2"/>
                  <c:y val="-3.550295857988165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F6-4855-BAE2-0B8998066A82}"/>
                </c:ext>
              </c:extLst>
            </c:dLbl>
            <c:dLbl>
              <c:idx val="1"/>
              <c:layout>
                <c:manualLayout>
                  <c:x val="5.4068241469816276E-3"/>
                  <c:y val="-2.761341222879684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8F6-4855-BAE2-0B8998066A82}"/>
                </c:ext>
              </c:extLst>
            </c:dLbl>
            <c:dLbl>
              <c:idx val="2"/>
              <c:layout>
                <c:manualLayout>
                  <c:x val="1.3517166801838235E-2"/>
                  <c:y val="-2.366863905325443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F6-4855-BAE2-0B8998066A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Oświetlenie!$B$25:$B$26</c:f>
              <c:numCache>
                <c:formatCode>General</c:formatCode>
                <c:ptCount val="2"/>
                <c:pt idx="0">
                  <c:v>70</c:v>
                </c:pt>
                <c:pt idx="1">
                  <c:v>100</c:v>
                </c:pt>
              </c:numCache>
            </c:numRef>
          </c:cat>
          <c:val>
            <c:numRef>
              <c:f>Oświetlenie!$I$25:$I$26</c:f>
              <c:numCache>
                <c:formatCode>0.00</c:formatCode>
                <c:ptCount val="2"/>
                <c:pt idx="0">
                  <c:v>167.76522784000002</c:v>
                </c:pt>
                <c:pt idx="1">
                  <c:v>147.910168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8F6-4855-BAE2-0B8998066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Struktura źródeł ciepła - mieszkalnictwo 2015 r.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0048118985126865E-2"/>
          <c:y val="0.21725050398713799"/>
          <c:w val="0.82449513025747811"/>
          <c:h val="0.5801187368632126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3">
                  <a:shade val="53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113-4818-8D45-F3F0776AD6B2}"/>
              </c:ext>
            </c:extLst>
          </c:dPt>
          <c:dPt>
            <c:idx val="1"/>
            <c:bubble3D val="0"/>
            <c:spPr>
              <a:solidFill>
                <a:schemeClr val="accent3">
                  <a:shade val="76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113-4818-8D45-F3F0776AD6B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113-4818-8D45-F3F0776AD6B2}"/>
              </c:ext>
            </c:extLst>
          </c:dPt>
          <c:dPt>
            <c:idx val="3"/>
            <c:bubble3D val="0"/>
            <c:spPr>
              <a:solidFill>
                <a:schemeClr val="accent3">
                  <a:tint val="77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4113-4818-8D45-F3F0776AD6B2}"/>
              </c:ext>
            </c:extLst>
          </c:dPt>
          <c:dPt>
            <c:idx val="4"/>
            <c:bubble3D val="0"/>
            <c:spPr>
              <a:solidFill>
                <a:schemeClr val="accent3">
                  <a:tint val="54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4113-4818-8D45-F3F0776AD6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'Paliwa opałowe'!$B$6:$B$10</c:f>
              <c:strCache>
                <c:ptCount val="5"/>
                <c:pt idx="0">
                  <c:v>systemowe</c:v>
                </c:pt>
                <c:pt idx="1">
                  <c:v>gazowe</c:v>
                </c:pt>
                <c:pt idx="2">
                  <c:v>węglowe</c:v>
                </c:pt>
                <c:pt idx="3">
                  <c:v>elektryczne</c:v>
                </c:pt>
                <c:pt idx="4">
                  <c:v>biomasa</c:v>
                </c:pt>
              </c:strCache>
            </c:strRef>
          </c:cat>
          <c:val>
            <c:numRef>
              <c:f>'Paliwa opałowe'!$C$6:$C$10</c:f>
              <c:numCache>
                <c:formatCode>0.00%</c:formatCode>
                <c:ptCount val="5"/>
                <c:pt idx="0">
                  <c:v>4.8466864490603362E-2</c:v>
                </c:pt>
                <c:pt idx="1">
                  <c:v>0.26013847675568746</c:v>
                </c:pt>
                <c:pt idx="2">
                  <c:v>0.63303659742828877</c:v>
                </c:pt>
                <c:pt idx="3">
                  <c:v>1.8298714144411473E-2</c:v>
                </c:pt>
                <c:pt idx="4">
                  <c:v>1.5331355093966371E-2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113-4818-8D45-F3F0776AD6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10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1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12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13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14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4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5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6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7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8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9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9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alpha val="0"/>
            </a:schemeClr>
          </a:gs>
          <a:gs pos="50000">
            <a:schemeClr val="phClr"/>
          </a:gs>
        </a:gsLst>
        <a:lin ang="5400000" scaled="0"/>
      </a:gradFill>
      <a:sp3d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alpha val="0"/>
            </a:schemeClr>
          </a:gs>
          <a:gs pos="50000">
            <a:schemeClr val="phClr"/>
          </a:gs>
        </a:gsLst>
        <a:lin ang="5400000" scaled="0"/>
      </a:gradFill>
      <a:sp3d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81280</xdr:colOff>
      <xdr:row>0</xdr:row>
      <xdr:rowOff>121920</xdr:rowOff>
    </xdr:from>
    <xdr:to>
      <xdr:col>20</xdr:col>
      <xdr:colOff>632460</xdr:colOff>
      <xdr:row>13</xdr:row>
      <xdr:rowOff>76200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482600</xdr:colOff>
      <xdr:row>15</xdr:row>
      <xdr:rowOff>107950</xdr:rowOff>
    </xdr:from>
    <xdr:to>
      <xdr:col>20</xdr:col>
      <xdr:colOff>360680</xdr:colOff>
      <xdr:row>33</xdr:row>
      <xdr:rowOff>11430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274320</xdr:colOff>
      <xdr:row>14</xdr:row>
      <xdr:rowOff>0</xdr:rowOff>
    </xdr:from>
    <xdr:to>
      <xdr:col>15</xdr:col>
      <xdr:colOff>487680</xdr:colOff>
      <xdr:row>36</xdr:row>
      <xdr:rowOff>37556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320040</xdr:colOff>
      <xdr:row>36</xdr:row>
      <xdr:rowOff>201930</xdr:rowOff>
    </xdr:from>
    <xdr:to>
      <xdr:col>15</xdr:col>
      <xdr:colOff>529045</xdr:colOff>
      <xdr:row>50</xdr:row>
      <xdr:rowOff>124097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817639</xdr:colOff>
      <xdr:row>18</xdr:row>
      <xdr:rowOff>156028</xdr:rowOff>
    </xdr:from>
    <xdr:to>
      <xdr:col>24</xdr:col>
      <xdr:colOff>562429</xdr:colOff>
      <xdr:row>41</xdr:row>
      <xdr:rowOff>7258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851747</xdr:colOff>
      <xdr:row>3</xdr:row>
      <xdr:rowOff>154094</xdr:rowOff>
    </xdr:from>
    <xdr:to>
      <xdr:col>20</xdr:col>
      <xdr:colOff>160866</xdr:colOff>
      <xdr:row>10</xdr:row>
      <xdr:rowOff>193888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758613</xdr:colOff>
      <xdr:row>12</xdr:row>
      <xdr:rowOff>86360</xdr:rowOff>
    </xdr:from>
    <xdr:to>
      <xdr:col>20</xdr:col>
      <xdr:colOff>217714</xdr:colOff>
      <xdr:row>17</xdr:row>
      <xdr:rowOff>177800</xdr:rowOff>
    </xdr:to>
    <xdr:graphicFrame macro="">
      <xdr:nvGraphicFramePr>
        <xdr:cNvPr id="9" name="Wykres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217170</xdr:colOff>
      <xdr:row>36</xdr:row>
      <xdr:rowOff>125730</xdr:rowOff>
    </xdr:from>
    <xdr:to>
      <xdr:col>7</xdr:col>
      <xdr:colOff>586740</xdr:colOff>
      <xdr:row>55</xdr:row>
      <xdr:rowOff>15240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106680</xdr:colOff>
      <xdr:row>2</xdr:row>
      <xdr:rowOff>41910</xdr:rowOff>
    </xdr:from>
    <xdr:to>
      <xdr:col>17</xdr:col>
      <xdr:colOff>129540</xdr:colOff>
      <xdr:row>16</xdr:row>
      <xdr:rowOff>83820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464820</xdr:colOff>
      <xdr:row>2</xdr:row>
      <xdr:rowOff>171450</xdr:rowOff>
    </xdr:from>
    <xdr:to>
      <xdr:col>14</xdr:col>
      <xdr:colOff>403860</xdr:colOff>
      <xdr:row>13</xdr:row>
      <xdr:rowOff>76200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487680</xdr:colOff>
      <xdr:row>17</xdr:row>
      <xdr:rowOff>49530</xdr:rowOff>
    </xdr:from>
    <xdr:to>
      <xdr:col>16</xdr:col>
      <xdr:colOff>472440</xdr:colOff>
      <xdr:row>28</xdr:row>
      <xdr:rowOff>67310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169818</xdr:colOff>
      <xdr:row>3</xdr:row>
      <xdr:rowOff>71846</xdr:rowOff>
    </xdr:from>
    <xdr:to>
      <xdr:col>19</xdr:col>
      <xdr:colOff>47898</xdr:colOff>
      <xdr:row>13</xdr:row>
      <xdr:rowOff>14151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238398</xdr:colOff>
      <xdr:row>26</xdr:row>
      <xdr:rowOff>0</xdr:rowOff>
    </xdr:from>
    <xdr:to>
      <xdr:col>19</xdr:col>
      <xdr:colOff>116478</xdr:colOff>
      <xdr:row>45</xdr:row>
      <xdr:rowOff>99060</xdr:rowOff>
    </xdr:to>
    <xdr:graphicFrame macro="">
      <xdr:nvGraphicFramePr>
        <xdr:cNvPr id="7" name="Wykres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174172</xdr:colOff>
      <xdr:row>13</xdr:row>
      <xdr:rowOff>130629</xdr:rowOff>
    </xdr:from>
    <xdr:to>
      <xdr:col>19</xdr:col>
      <xdr:colOff>52252</xdr:colOff>
      <xdr:row>24</xdr:row>
      <xdr:rowOff>138249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I22"/>
  <sheetViews>
    <sheetView view="pageBreakPreview" zoomScaleNormal="100" zoomScaleSheetLayoutView="100" workbookViewId="0">
      <selection activeCell="I14" sqref="I14"/>
    </sheetView>
  </sheetViews>
  <sheetFormatPr defaultRowHeight="13.8"/>
  <cols>
    <col min="1" max="1" width="5.47265625" customWidth="1"/>
    <col min="2" max="2" width="17.47265625" customWidth="1"/>
    <col min="5" max="5" width="55.1875" customWidth="1"/>
  </cols>
  <sheetData>
    <row r="1" spans="2:9" ht="14.1" thickBot="1"/>
    <row r="2" spans="2:9" ht="14.7" thickBot="1">
      <c r="B2" s="772" t="s">
        <v>25</v>
      </c>
      <c r="C2" s="773"/>
      <c r="D2" s="773"/>
      <c r="E2" s="774"/>
    </row>
    <row r="3" spans="2:9" ht="14.1" thickBot="1">
      <c r="C3" s="16"/>
      <c r="D3" s="16"/>
      <c r="E3" s="16"/>
    </row>
    <row r="4" spans="2:9" ht="14.4">
      <c r="B4" s="17" t="s">
        <v>47</v>
      </c>
      <c r="C4" s="775" t="s">
        <v>26</v>
      </c>
      <c r="D4" s="776"/>
      <c r="E4" s="777"/>
    </row>
    <row r="5" spans="2:9" ht="35.25" customHeight="1" thickBot="1">
      <c r="B5" s="18" t="s">
        <v>27</v>
      </c>
      <c r="C5" s="778" t="s">
        <v>156</v>
      </c>
      <c r="D5" s="779"/>
      <c r="E5" s="780"/>
    </row>
    <row r="6" spans="2:9" ht="14.1" thickBot="1">
      <c r="B6" s="781"/>
      <c r="C6" s="782"/>
      <c r="D6" s="782"/>
      <c r="E6" s="782"/>
      <c r="F6" s="1"/>
    </row>
    <row r="7" spans="2:9" ht="14.7" thickBot="1">
      <c r="B7" s="19" t="s">
        <v>28</v>
      </c>
      <c r="C7" s="783"/>
      <c r="D7" s="783"/>
      <c r="E7" s="783"/>
    </row>
    <row r="8" spans="2:9" ht="14.4">
      <c r="B8" s="60" t="s">
        <v>29</v>
      </c>
      <c r="C8" s="765" t="s">
        <v>30</v>
      </c>
      <c r="D8" s="766"/>
      <c r="E8" s="767"/>
    </row>
    <row r="9" spans="2:9">
      <c r="B9" s="22" t="s">
        <v>31</v>
      </c>
      <c r="C9" s="768"/>
      <c r="D9" s="768"/>
      <c r="E9" s="769"/>
    </row>
    <row r="10" spans="2:9" ht="32.25" customHeight="1">
      <c r="B10" s="23" t="s">
        <v>32</v>
      </c>
      <c r="C10" s="770" t="s">
        <v>367</v>
      </c>
      <c r="D10" s="770"/>
      <c r="E10" s="771"/>
      <c r="F10" s="21"/>
    </row>
    <row r="11" spans="2:9" ht="32.25" customHeight="1">
      <c r="B11" s="23" t="s">
        <v>33</v>
      </c>
      <c r="C11" s="770" t="s">
        <v>366</v>
      </c>
      <c r="D11" s="770"/>
      <c r="E11" s="771"/>
      <c r="F11" s="20"/>
      <c r="G11" s="20"/>
      <c r="H11" s="20"/>
      <c r="I11" s="20"/>
    </row>
    <row r="12" spans="2:9" ht="29.25" customHeight="1">
      <c r="B12" s="23" t="s">
        <v>34</v>
      </c>
      <c r="C12" s="770" t="s">
        <v>365</v>
      </c>
      <c r="D12" s="770"/>
      <c r="E12" s="771"/>
    </row>
    <row r="13" spans="2:9" ht="30.75" customHeight="1">
      <c r="B13" s="23" t="s">
        <v>35</v>
      </c>
      <c r="C13" s="770" t="s">
        <v>368</v>
      </c>
      <c r="D13" s="770"/>
      <c r="E13" s="771"/>
    </row>
    <row r="14" spans="2:9" ht="30.75" customHeight="1">
      <c r="B14" s="23" t="s">
        <v>36</v>
      </c>
      <c r="C14" s="770" t="s">
        <v>369</v>
      </c>
      <c r="D14" s="770"/>
      <c r="E14" s="771"/>
    </row>
    <row r="15" spans="2:9" ht="31.5" customHeight="1">
      <c r="B15" s="23" t="s">
        <v>37</v>
      </c>
      <c r="C15" s="770" t="s">
        <v>370</v>
      </c>
      <c r="D15" s="770"/>
      <c r="E15" s="771"/>
    </row>
    <row r="16" spans="2:9" ht="27.75" customHeight="1">
      <c r="B16" s="23" t="s">
        <v>38</v>
      </c>
      <c r="C16" s="770" t="s">
        <v>44</v>
      </c>
      <c r="D16" s="770"/>
      <c r="E16" s="771"/>
    </row>
    <row r="17" spans="2:5" ht="30.75" customHeight="1">
      <c r="B17" s="23" t="s">
        <v>39</v>
      </c>
      <c r="C17" s="770" t="s">
        <v>371</v>
      </c>
      <c r="D17" s="770"/>
      <c r="E17" s="771"/>
    </row>
    <row r="18" spans="2:5" ht="27.75" customHeight="1">
      <c r="B18" s="23" t="s">
        <v>43</v>
      </c>
      <c r="C18" s="770" t="s">
        <v>45</v>
      </c>
      <c r="D18" s="770"/>
      <c r="E18" s="771"/>
    </row>
    <row r="19" spans="2:5" ht="27" customHeight="1">
      <c r="B19" s="23" t="s">
        <v>40</v>
      </c>
      <c r="C19" s="770" t="s">
        <v>46</v>
      </c>
      <c r="D19" s="770"/>
      <c r="E19" s="771"/>
    </row>
    <row r="20" spans="2:5" ht="27.75" customHeight="1">
      <c r="B20" s="23" t="s">
        <v>41</v>
      </c>
      <c r="C20" s="770" t="s">
        <v>372</v>
      </c>
      <c r="D20" s="770"/>
      <c r="E20" s="771"/>
    </row>
    <row r="21" spans="2:5" ht="27.75" customHeight="1">
      <c r="B21" s="23" t="s">
        <v>42</v>
      </c>
      <c r="C21" s="770" t="s">
        <v>373</v>
      </c>
      <c r="D21" s="770"/>
      <c r="E21" s="771"/>
    </row>
    <row r="22" spans="2:5" ht="29.25" customHeight="1" thickBot="1">
      <c r="B22" s="24" t="s">
        <v>7</v>
      </c>
      <c r="C22" s="784" t="s">
        <v>374</v>
      </c>
      <c r="D22" s="784"/>
      <c r="E22" s="785"/>
    </row>
  </sheetData>
  <mergeCells count="20">
    <mergeCell ref="C12:E12"/>
    <mergeCell ref="C13:E13"/>
    <mergeCell ref="C21:E21"/>
    <mergeCell ref="C22:E22"/>
    <mergeCell ref="C15:E15"/>
    <mergeCell ref="C16:E16"/>
    <mergeCell ref="C17:E17"/>
    <mergeCell ref="C18:E18"/>
    <mergeCell ref="C19:E19"/>
    <mergeCell ref="C20:E20"/>
    <mergeCell ref="C14:E14"/>
    <mergeCell ref="C8:E8"/>
    <mergeCell ref="C9:E9"/>
    <mergeCell ref="C10:E10"/>
    <mergeCell ref="C11:E11"/>
    <mergeCell ref="B2:E2"/>
    <mergeCell ref="C4:E4"/>
    <mergeCell ref="C5:E5"/>
    <mergeCell ref="B6:E6"/>
    <mergeCell ref="C7:E7"/>
  </mergeCells>
  <pageMargins left="0.7" right="0.7" top="0.75" bottom="0.75" header="0.3" footer="0.3"/>
  <pageSetup paperSize="9" scale="57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B1:M29"/>
  <sheetViews>
    <sheetView view="pageBreakPreview" zoomScaleNormal="60" zoomScaleSheetLayoutView="100" workbookViewId="0">
      <selection activeCell="F24" sqref="F24:I29"/>
    </sheetView>
  </sheetViews>
  <sheetFormatPr defaultRowHeight="13.8"/>
  <cols>
    <col min="1" max="1" width="7.09375" customWidth="1"/>
    <col min="2" max="2" width="26.7109375" customWidth="1"/>
    <col min="3" max="3" width="20.6171875" customWidth="1"/>
    <col min="4" max="4" width="5.6171875" customWidth="1"/>
    <col min="5" max="5" width="17.90234375" customWidth="1"/>
    <col min="7" max="7" width="13.90234375" customWidth="1"/>
    <col min="8" max="8" width="15.1875" customWidth="1"/>
    <col min="9" max="9" width="19.1875" customWidth="1"/>
    <col min="13" max="13" width="10.7109375" customWidth="1"/>
  </cols>
  <sheetData>
    <row r="1" spans="2:9" ht="14.1" thickBot="1"/>
    <row r="2" spans="2:9" ht="14.1" thickBot="1">
      <c r="B2" s="905" t="s">
        <v>150</v>
      </c>
      <c r="C2" s="906"/>
      <c r="D2" s="906"/>
      <c r="E2" s="906"/>
      <c r="F2" s="906"/>
      <c r="G2" s="906"/>
      <c r="H2" s="906"/>
      <c r="I2" s="906"/>
    </row>
    <row r="4" spans="2:9" ht="14.1" thickBot="1"/>
    <row r="5" spans="2:9" ht="14.4">
      <c r="B5" s="907" t="s">
        <v>149</v>
      </c>
      <c r="C5" s="908"/>
      <c r="E5" s="323"/>
      <c r="F5" s="323"/>
      <c r="G5" s="323"/>
      <c r="H5" s="323"/>
      <c r="I5" s="323"/>
    </row>
    <row r="6" spans="2:9" ht="14.4">
      <c r="B6" s="71" t="s">
        <v>108</v>
      </c>
      <c r="C6" s="130">
        <f>'Założenia 1 - Wyniki ankiet'!H2036</f>
        <v>4.8466864490603362E-2</v>
      </c>
      <c r="E6" s="324"/>
      <c r="F6" s="325"/>
      <c r="G6" s="326"/>
      <c r="H6" s="312"/>
      <c r="I6" s="326"/>
    </row>
    <row r="7" spans="2:9" ht="14.4">
      <c r="B7" s="71" t="s">
        <v>110</v>
      </c>
      <c r="C7" s="130">
        <f>'Założenia 1 - Wyniki ankiet'!H2035</f>
        <v>0.26013847675568746</v>
      </c>
      <c r="E7" s="324"/>
      <c r="F7" s="325"/>
      <c r="G7" s="326"/>
      <c r="H7" s="312"/>
      <c r="I7" s="326"/>
    </row>
    <row r="8" spans="2:9" ht="14.4">
      <c r="B8" s="71" t="s">
        <v>112</v>
      </c>
      <c r="C8" s="130">
        <f>'Założenia 1 - Wyniki ankiet'!H2032</f>
        <v>0.63303659742828877</v>
      </c>
      <c r="E8" s="324"/>
      <c r="F8" s="325"/>
      <c r="G8" s="326"/>
      <c r="H8" s="312"/>
      <c r="I8" s="326"/>
    </row>
    <row r="9" spans="2:9" ht="14.4">
      <c r="B9" s="71" t="s">
        <v>113</v>
      </c>
      <c r="C9" s="130">
        <f>'Założenia 1 - Wyniki ankiet'!H2033</f>
        <v>1.8298714144411473E-2</v>
      </c>
      <c r="E9" s="327"/>
      <c r="F9" s="325"/>
      <c r="G9" s="326"/>
      <c r="H9" s="312"/>
      <c r="I9" s="326"/>
    </row>
    <row r="10" spans="2:9" ht="14.7" thickBot="1">
      <c r="B10" s="74" t="s">
        <v>115</v>
      </c>
      <c r="C10" s="131">
        <f>'Założenia 1 - Wyniki ankiet'!H2034</f>
        <v>1.5331355093966371E-2</v>
      </c>
      <c r="E10" s="324"/>
      <c r="F10" s="325"/>
      <c r="G10" s="326"/>
      <c r="H10" s="312"/>
      <c r="I10" s="326"/>
    </row>
    <row r="11" spans="2:9" ht="14.7" thickBot="1">
      <c r="C11" s="124">
        <f>SUM(C6:C10)</f>
        <v>0.97527200791295732</v>
      </c>
      <c r="E11" s="324"/>
      <c r="F11" s="312"/>
      <c r="G11" s="326"/>
      <c r="H11" s="312"/>
      <c r="I11" s="326"/>
    </row>
    <row r="14" spans="2:9" ht="14.1" thickBot="1"/>
    <row r="15" spans="2:9" ht="31.2">
      <c r="B15" s="17"/>
      <c r="C15" s="466"/>
      <c r="E15" s="68">
        <v>2015</v>
      </c>
      <c r="F15" s="69" t="s">
        <v>105</v>
      </c>
      <c r="G15" s="69" t="s">
        <v>99</v>
      </c>
      <c r="H15" s="69" t="s">
        <v>106</v>
      </c>
      <c r="I15" s="70" t="s">
        <v>107</v>
      </c>
    </row>
    <row r="16" spans="2:9" ht="14.4">
      <c r="B16" s="122" t="s">
        <v>161</v>
      </c>
      <c r="C16" s="129">
        <f>'Założenia 2 - Dane wejściowe'!I24</f>
        <v>21335</v>
      </c>
      <c r="E16" s="72" t="s">
        <v>109</v>
      </c>
      <c r="F16" s="123">
        <f>C6</f>
        <v>4.8466864490603362E-2</v>
      </c>
      <c r="G16" s="477">
        <f>G21*F16</f>
        <v>21412.452275964388</v>
      </c>
      <c r="H16" s="2">
        <f>'Założenia 2 - Dane wejściowe'!N35</f>
        <v>9.4E-2</v>
      </c>
      <c r="I16" s="478">
        <f>G16*H16</f>
        <v>2012.7705139406526</v>
      </c>
    </row>
    <row r="17" spans="2:13" ht="14.4">
      <c r="B17" s="144" t="s">
        <v>148</v>
      </c>
      <c r="C17" s="146">
        <f>'Założenia 2 - Dane wejściowe'!J24</f>
        <v>20694.95</v>
      </c>
      <c r="E17" s="72" t="s">
        <v>111</v>
      </c>
      <c r="F17" s="123">
        <f t="shared" ref="F17:F20" si="0">C7</f>
        <v>0.26013847675568746</v>
      </c>
      <c r="G17" s="477">
        <f>G21*F17</f>
        <v>114928.06017507419</v>
      </c>
      <c r="H17" s="2">
        <f>'Założenia 2 - Dane wejściowe'!B35</f>
        <v>5.5E-2</v>
      </c>
      <c r="I17" s="478">
        <f>G17*H17</f>
        <v>6321.0433096290808</v>
      </c>
    </row>
    <row r="18" spans="2:13" ht="32.25" customHeight="1">
      <c r="B18" s="467"/>
      <c r="C18" s="468"/>
      <c r="E18" s="72" t="s">
        <v>112</v>
      </c>
      <c r="F18" s="123">
        <f t="shared" si="0"/>
        <v>0.63303659742828877</v>
      </c>
      <c r="G18" s="477">
        <f>G21*F18</f>
        <v>279672.84605341242</v>
      </c>
      <c r="H18" s="2">
        <f>'Założenia 2 - Dane wejściowe'!N37</f>
        <v>9.8000000000000004E-2</v>
      </c>
      <c r="I18" s="478">
        <f>G18*H18</f>
        <v>27407.938913234419</v>
      </c>
    </row>
    <row r="19" spans="2:13" ht="31.5" customHeight="1">
      <c r="B19" s="76" t="s">
        <v>160</v>
      </c>
      <c r="C19" s="132">
        <f>'Założenia 2 - Dane wejściowe'!D184</f>
        <v>538119</v>
      </c>
      <c r="E19" s="73" t="s">
        <v>114</v>
      </c>
      <c r="F19" s="123">
        <f t="shared" si="0"/>
        <v>1.8298714144411473E-2</v>
      </c>
      <c r="G19" s="477">
        <f>G21*F19</f>
        <v>8084.293206231453</v>
      </c>
      <c r="H19" s="83">
        <f>'Założenia 2 - Dane wejściowe'!B20</f>
        <v>0.89</v>
      </c>
      <c r="I19" s="478">
        <f>G19*H19</f>
        <v>7195.0209535459935</v>
      </c>
      <c r="M19" s="145"/>
    </row>
    <row r="20" spans="2:13" ht="29.1" thickBot="1">
      <c r="B20" s="76" t="s">
        <v>116</v>
      </c>
      <c r="C20" s="132">
        <f>'Założenia 2 - Dane wejściowe'!I184</f>
        <v>555744.64897411305</v>
      </c>
      <c r="E20" s="72" t="s">
        <v>115</v>
      </c>
      <c r="F20" s="123">
        <f t="shared" si="0"/>
        <v>1.5331355093966371E-2</v>
      </c>
      <c r="G20" s="477">
        <f>G21*F20</f>
        <v>6773.3267403560831</v>
      </c>
      <c r="H20" s="475">
        <f>'Założenia 2 - Dane wejściowe'!N41</f>
        <v>0</v>
      </c>
      <c r="I20" s="478">
        <f>G20*H20</f>
        <v>0</v>
      </c>
    </row>
    <row r="21" spans="2:13" ht="29.1" thickBot="1">
      <c r="B21" s="76" t="s">
        <v>117</v>
      </c>
      <c r="C21" s="125">
        <f>'Założenia 2 - Dane wejściowe'!C190</f>
        <v>0.82099999999999995</v>
      </c>
      <c r="E21" s="75" t="s">
        <v>7</v>
      </c>
      <c r="G21" s="127">
        <f>C23</f>
        <v>441795.69899999996</v>
      </c>
      <c r="I21" s="127">
        <f>SUM(I16:I20)</f>
        <v>42936.773690350143</v>
      </c>
    </row>
    <row r="22" spans="2:13" ht="14.7" thickBot="1">
      <c r="B22" s="467"/>
      <c r="C22" s="469"/>
      <c r="F22" s="1"/>
      <c r="H22" s="1"/>
    </row>
    <row r="23" spans="2:13" ht="31.2">
      <c r="B23" s="73" t="s">
        <v>162</v>
      </c>
      <c r="C23" s="114">
        <f>C19*C21</f>
        <v>441795.69899999996</v>
      </c>
      <c r="E23" s="68" t="s">
        <v>425</v>
      </c>
      <c r="F23" s="69" t="s">
        <v>105</v>
      </c>
      <c r="G23" s="69" t="s">
        <v>99</v>
      </c>
      <c r="H23" s="69" t="s">
        <v>106</v>
      </c>
      <c r="I23" s="70" t="s">
        <v>107</v>
      </c>
    </row>
    <row r="24" spans="2:13" ht="43.5" thickBot="1">
      <c r="B24" s="77" t="s">
        <v>283</v>
      </c>
      <c r="C24" s="126">
        <f>C20*C21</f>
        <v>456266.35680774681</v>
      </c>
      <c r="E24" s="72" t="s">
        <v>109</v>
      </c>
      <c r="F24" s="123">
        <f>C6</f>
        <v>4.8466864490603362E-2</v>
      </c>
      <c r="G24" s="477">
        <f>G29*F24</f>
        <v>22113.799687022347</v>
      </c>
      <c r="H24" s="2">
        <f>'Założenia 2 - Dane wejściowe'!N35</f>
        <v>9.4E-2</v>
      </c>
      <c r="I24" s="478">
        <f>G24*H24</f>
        <v>2078.6971705801006</v>
      </c>
    </row>
    <row r="25" spans="2:13" ht="14.4">
      <c r="E25" s="72" t="s">
        <v>111</v>
      </c>
      <c r="F25" s="123">
        <f t="shared" ref="F25:F28" si="1">C7</f>
        <v>0.26013847675568746</v>
      </c>
      <c r="G25" s="477">
        <f>G29*F25</f>
        <v>118692.43505483425</v>
      </c>
      <c r="H25" s="2">
        <f>'Założenia 2 - Dane wejściowe'!B35</f>
        <v>5.5E-2</v>
      </c>
      <c r="I25" s="478">
        <f>G25*H25</f>
        <v>6528.0839280158834</v>
      </c>
    </row>
    <row r="26" spans="2:13" ht="14.4">
      <c r="E26" s="72" t="s">
        <v>112</v>
      </c>
      <c r="F26" s="123">
        <f t="shared" si="1"/>
        <v>0.63303659742828877</v>
      </c>
      <c r="G26" s="477">
        <f>G29*F26</f>
        <v>288833.30203457759</v>
      </c>
      <c r="H26" s="2">
        <f>'Założenia 2 - Dane wejściowe'!N37</f>
        <v>9.8000000000000004E-2</v>
      </c>
      <c r="I26" s="478">
        <f>G26*H26</f>
        <v>28305.663599388605</v>
      </c>
    </row>
    <row r="27" spans="2:13" ht="28.8">
      <c r="E27" s="73" t="s">
        <v>114</v>
      </c>
      <c r="F27" s="123">
        <f t="shared" si="1"/>
        <v>1.8298714144411473E-2</v>
      </c>
      <c r="G27" s="477">
        <f>G29*F27</f>
        <v>8349.0876369370089</v>
      </c>
      <c r="H27" s="83">
        <f>'Założenia 2 - Dane wejściowe'!B20</f>
        <v>0.89</v>
      </c>
      <c r="I27" s="478">
        <f>G27*H27</f>
        <v>7430.6879968739377</v>
      </c>
    </row>
    <row r="28" spans="2:13" ht="14.4">
      <c r="E28" s="72" t="s">
        <v>118</v>
      </c>
      <c r="F28" s="123">
        <f t="shared" si="1"/>
        <v>1.5331355093966371E-2</v>
      </c>
      <c r="G28" s="477">
        <f>G29*F28</f>
        <v>6995.1815336499267</v>
      </c>
      <c r="H28" s="83">
        <f>'Założenia 2 - Dane wejściowe'!N41</f>
        <v>0</v>
      </c>
      <c r="I28" s="478">
        <f>G28*H28</f>
        <v>0</v>
      </c>
    </row>
    <row r="29" spans="2:13" ht="14.7" thickBot="1">
      <c r="E29" s="75" t="s">
        <v>7</v>
      </c>
      <c r="G29" s="127">
        <f>C24</f>
        <v>456266.35680774681</v>
      </c>
      <c r="I29" s="127">
        <f>SUM(I24:I28)</f>
        <v>44343.132694858527</v>
      </c>
    </row>
  </sheetData>
  <mergeCells count="2">
    <mergeCell ref="B2:I2"/>
    <mergeCell ref="B5:C5"/>
  </mergeCells>
  <pageMargins left="0.7" right="0.7" top="0.75" bottom="0.75" header="0.3" footer="0.3"/>
  <pageSetup paperSize="9" scale="57"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B1:K33"/>
  <sheetViews>
    <sheetView view="pageBreakPreview" topLeftCell="F13" zoomScaleNormal="100" zoomScaleSheetLayoutView="100" workbookViewId="0">
      <selection activeCell="D16" sqref="D16"/>
    </sheetView>
  </sheetViews>
  <sheetFormatPr defaultRowHeight="13.8"/>
  <cols>
    <col min="1" max="1" width="5.1875" customWidth="1"/>
    <col min="2" max="2" width="24.90234375" customWidth="1"/>
    <col min="3" max="3" width="12.6171875" customWidth="1"/>
    <col min="4" max="4" width="16.37890625" customWidth="1"/>
    <col min="5" max="5" width="13" customWidth="1"/>
    <col min="6" max="6" width="20.37890625" customWidth="1"/>
    <col min="7" max="7" width="10.1875" customWidth="1"/>
    <col min="8" max="8" width="12.90234375" customWidth="1"/>
  </cols>
  <sheetData>
    <row r="1" spans="2:11" ht="14.1" thickBot="1"/>
    <row r="2" spans="2:11" ht="14.1" thickBot="1">
      <c r="B2" s="909" t="s">
        <v>104</v>
      </c>
      <c r="C2" s="910"/>
      <c r="D2" s="910"/>
      <c r="E2" s="910"/>
      <c r="F2" s="910"/>
      <c r="G2" s="911"/>
      <c r="H2" s="282"/>
    </row>
    <row r="4" spans="2:11" ht="34.5" customHeight="1">
      <c r="B4" s="329"/>
      <c r="C4" s="329"/>
      <c r="D4" s="329"/>
      <c r="E4" s="329"/>
      <c r="F4" s="329"/>
      <c r="G4" s="259"/>
      <c r="H4" s="259"/>
    </row>
    <row r="5" spans="2:11" ht="21" customHeight="1">
      <c r="B5" s="330"/>
      <c r="C5" s="331"/>
      <c r="D5" s="328"/>
      <c r="E5" s="332"/>
      <c r="F5" s="328"/>
      <c r="G5" s="259"/>
      <c r="H5" s="259"/>
    </row>
    <row r="6" spans="2:11" ht="28.5" customHeight="1">
      <c r="B6" s="333"/>
      <c r="C6" s="331"/>
      <c r="D6" s="328"/>
      <c r="E6" s="332"/>
      <c r="F6" s="328"/>
      <c r="G6" s="259"/>
      <c r="H6" s="259"/>
    </row>
    <row r="7" spans="2:11" ht="24.75" customHeight="1">
      <c r="B7" s="333"/>
      <c r="C7" s="331"/>
      <c r="D7" s="328"/>
      <c r="E7" s="332"/>
      <c r="F7" s="328"/>
      <c r="G7" s="259"/>
      <c r="H7" s="259"/>
      <c r="J7">
        <f>771353/92249</f>
        <v>8.3616407765937844</v>
      </c>
      <c r="K7">
        <f>771353/19792</f>
        <v>38.972968876313665</v>
      </c>
    </row>
    <row r="8" spans="2:11" ht="30" customHeight="1">
      <c r="B8" s="333"/>
      <c r="C8" s="331"/>
      <c r="D8" s="328"/>
      <c r="E8" s="332"/>
      <c r="F8" s="328"/>
      <c r="G8" s="259"/>
      <c r="H8" s="259"/>
    </row>
    <row r="9" spans="2:11" ht="14.4">
      <c r="B9" s="334"/>
      <c r="C9" s="331"/>
      <c r="D9" s="328"/>
      <c r="E9" s="335"/>
      <c r="F9" s="336"/>
      <c r="G9" s="259"/>
      <c r="H9" s="259"/>
    </row>
    <row r="10" spans="2:11" ht="14.1" thickBot="1">
      <c r="B10" s="259"/>
      <c r="C10" s="259"/>
      <c r="D10" s="259"/>
      <c r="E10" s="259"/>
      <c r="F10" s="259"/>
      <c r="G10" s="259"/>
      <c r="H10" s="259"/>
    </row>
    <row r="11" spans="2:11" ht="27.6">
      <c r="B11" s="256">
        <v>2015</v>
      </c>
      <c r="C11" s="257" t="s">
        <v>105</v>
      </c>
      <c r="D11" s="257" t="s">
        <v>99</v>
      </c>
      <c r="E11" s="257" t="s">
        <v>299</v>
      </c>
      <c r="F11" s="258" t="s">
        <v>300</v>
      </c>
      <c r="G11" s="259"/>
      <c r="H11" s="259"/>
    </row>
    <row r="12" spans="2:11" ht="14.4">
      <c r="B12" s="260" t="s">
        <v>19</v>
      </c>
      <c r="C12" s="261">
        <f>D12/D16</f>
        <v>0.67628893899077547</v>
      </c>
      <c r="D12" s="262">
        <f>'Paliwa opałowe'!G16</f>
        <v>21412.452275964388</v>
      </c>
      <c r="E12" s="163">
        <f>'Założenia 2 - Dane wejściowe'!$N$35</f>
        <v>9.4E-2</v>
      </c>
      <c r="F12" s="263">
        <f>D12*E12</f>
        <v>2012.7705139406526</v>
      </c>
      <c r="G12" s="259"/>
      <c r="H12" s="259"/>
    </row>
    <row r="13" spans="2:11" ht="28.8">
      <c r="B13" s="264" t="s">
        <v>119</v>
      </c>
      <c r="C13" s="261">
        <f>D13/D16</f>
        <v>0.14258239770168746</v>
      </c>
      <c r="D13" s="265">
        <f>'Założenia 2 - Dane wejściowe'!C198*'Założenia 2 - Dane wejściowe'!D198</f>
        <v>4514.4000000000005</v>
      </c>
      <c r="E13" s="163">
        <f>'Założenia 2 - Dane wejściowe'!$N$35</f>
        <v>9.4E-2</v>
      </c>
      <c r="F13" s="263">
        <f t="shared" ref="F13:F14" si="0">D13*E13</f>
        <v>424.35360000000003</v>
      </c>
      <c r="G13" s="259"/>
      <c r="H13" s="259"/>
    </row>
    <row r="14" spans="2:11" ht="14.4">
      <c r="B14" s="264" t="s">
        <v>120</v>
      </c>
      <c r="C14" s="261">
        <f>D14/D16</f>
        <v>0.16655458444977816</v>
      </c>
      <c r="D14" s="265">
        <f>'Założenia 2 - Dane wejściowe'!C199*'Założenia 2 - Dane wejściowe'!D199</f>
        <v>5273.4</v>
      </c>
      <c r="E14" s="163">
        <f>'Założenia 2 - Dane wejściowe'!$N$35</f>
        <v>9.4E-2</v>
      </c>
      <c r="F14" s="263">
        <f t="shared" si="0"/>
        <v>495.69959999999998</v>
      </c>
      <c r="G14" s="259"/>
      <c r="H14" s="259"/>
    </row>
    <row r="15" spans="2:11" ht="29.1" thickBot="1">
      <c r="B15" s="264" t="s">
        <v>121</v>
      </c>
      <c r="C15" s="261">
        <f>D15/D16</f>
        <v>1.4574078857758872E-2</v>
      </c>
      <c r="D15" s="272">
        <f>'Obiekty publiczne'!B61</f>
        <v>461.44</v>
      </c>
      <c r="E15" s="163">
        <f>'Założenia 2 - Dane wejściowe'!$N$35</f>
        <v>9.4E-2</v>
      </c>
      <c r="F15" s="273">
        <f>'Obiekty publiczne'!D61</f>
        <v>43.375360000000001</v>
      </c>
      <c r="G15" s="259"/>
      <c r="H15" s="274"/>
    </row>
    <row r="16" spans="2:11" ht="14.7" thickBot="1">
      <c r="B16" s="267" t="s">
        <v>7</v>
      </c>
      <c r="C16" s="268">
        <f>SUM(C12:C15)</f>
        <v>1</v>
      </c>
      <c r="D16" s="269">
        <f>SUM(D12:D15)</f>
        <v>31661.692275964389</v>
      </c>
      <c r="E16" s="270"/>
      <c r="F16" s="271">
        <f>SUM(F12:F15)</f>
        <v>2976.1990739406524</v>
      </c>
      <c r="G16" s="259"/>
      <c r="H16" s="259"/>
    </row>
    <row r="17" spans="2:8" ht="14.1" thickBot="1">
      <c r="B17" s="259"/>
      <c r="C17" s="259"/>
      <c r="D17" s="259"/>
      <c r="E17" s="259"/>
      <c r="F17" s="259"/>
      <c r="G17" s="259"/>
      <c r="H17" s="259"/>
    </row>
    <row r="18" spans="2:8" ht="27.6">
      <c r="B18" s="256" t="s">
        <v>284</v>
      </c>
      <c r="C18" s="257" t="s">
        <v>105</v>
      </c>
      <c r="D18" s="257" t="s">
        <v>99</v>
      </c>
      <c r="E18" s="257" t="s">
        <v>299</v>
      </c>
      <c r="F18" s="258" t="s">
        <v>300</v>
      </c>
      <c r="G18" s="259"/>
      <c r="H18" s="259"/>
    </row>
    <row r="19" spans="2:8" ht="14.4">
      <c r="B19" s="260" t="s">
        <v>19</v>
      </c>
      <c r="C19" s="261">
        <f>D19/D23</f>
        <v>0.67405962278009113</v>
      </c>
      <c r="D19" s="262">
        <f>'Paliwa opałowe'!G24</f>
        <v>22113.799687022347</v>
      </c>
      <c r="E19" s="163">
        <f>E12</f>
        <v>9.4E-2</v>
      </c>
      <c r="F19" s="263">
        <f>D19*E19</f>
        <v>2078.6971705801006</v>
      </c>
      <c r="G19" s="259"/>
      <c r="H19" s="259"/>
    </row>
    <row r="20" spans="2:8" ht="28.8">
      <c r="B20" s="264" t="s">
        <v>119</v>
      </c>
      <c r="C20" s="261">
        <f>D20/D23</f>
        <v>0.15274181880101337</v>
      </c>
      <c r="D20" s="265">
        <f>D13*1.11</f>
        <v>5010.9840000000013</v>
      </c>
      <c r="E20" s="163">
        <f t="shared" ref="E20:E22" si="1">E13</f>
        <v>9.4E-2</v>
      </c>
      <c r="F20" s="263">
        <f>D20*E20</f>
        <v>471.03249600000009</v>
      </c>
      <c r="G20" s="259"/>
      <c r="H20" s="259"/>
    </row>
    <row r="21" spans="2:8" ht="14.4">
      <c r="B21" s="264" t="s">
        <v>120</v>
      </c>
      <c r="C21" s="261">
        <f>D21/D23</f>
        <v>0.1591332201804298</v>
      </c>
      <c r="D21" s="265">
        <f>D14*0.99</f>
        <v>5220.6659999999993</v>
      </c>
      <c r="E21" s="163">
        <f t="shared" si="1"/>
        <v>9.4E-2</v>
      </c>
      <c r="F21" s="263">
        <f t="shared" ref="F21:F22" si="2">D21*E21</f>
        <v>490.74260399999991</v>
      </c>
      <c r="G21" s="259"/>
      <c r="H21" s="259"/>
    </row>
    <row r="22" spans="2:8" ht="29.1" thickBot="1">
      <c r="B22" s="264" t="s">
        <v>121</v>
      </c>
      <c r="C22" s="261">
        <f>D22/D23</f>
        <v>1.4065338238465655E-2</v>
      </c>
      <c r="D22" s="266">
        <f>D15</f>
        <v>461.44</v>
      </c>
      <c r="E22" s="163">
        <f t="shared" si="1"/>
        <v>9.4E-2</v>
      </c>
      <c r="F22" s="263">
        <f t="shared" si="2"/>
        <v>43.375360000000001</v>
      </c>
      <c r="G22" s="259"/>
      <c r="H22" s="259"/>
    </row>
    <row r="23" spans="2:8" ht="14.7" thickBot="1">
      <c r="B23" s="267" t="s">
        <v>7</v>
      </c>
      <c r="C23" s="275">
        <f>SUM(C19:C22)</f>
        <v>1</v>
      </c>
      <c r="D23" s="269">
        <f>SUM(D19:D22)</f>
        <v>32806.889687022347</v>
      </c>
      <c r="E23" s="270"/>
      <c r="F23" s="271">
        <f>SUM(F19:F22)</f>
        <v>3083.8476305801009</v>
      </c>
      <c r="G23" s="259"/>
      <c r="H23" s="259"/>
    </row>
    <row r="24" spans="2:8">
      <c r="B24" s="259"/>
      <c r="C24" s="259"/>
      <c r="D24" s="259"/>
      <c r="E24" s="259"/>
      <c r="F24" s="259"/>
      <c r="G24" s="259"/>
      <c r="H24" s="259"/>
    </row>
    <row r="25" spans="2:8" ht="14.1" thickBot="1">
      <c r="B25" s="259"/>
      <c r="C25" s="259"/>
      <c r="D25" s="259"/>
      <c r="E25" s="259"/>
      <c r="F25" s="259"/>
      <c r="G25" s="259"/>
      <c r="H25" s="259"/>
    </row>
    <row r="26" spans="2:8" ht="14.1" thickBot="1">
      <c r="B26" s="912" t="s">
        <v>122</v>
      </c>
      <c r="C26" s="913"/>
      <c r="D26" s="913"/>
      <c r="E26" s="913"/>
      <c r="F26" s="913"/>
      <c r="G26" s="914"/>
      <c r="H26" s="337"/>
    </row>
    <row r="27" spans="2:8" ht="14.1" thickBot="1">
      <c r="B27" s="259"/>
      <c r="C27" s="259"/>
      <c r="D27" s="259"/>
      <c r="E27" s="259"/>
      <c r="F27" s="259"/>
      <c r="G27" s="259"/>
      <c r="H27" s="259"/>
    </row>
    <row r="28" spans="2:8" ht="65.400000000000006" customHeight="1" thickBot="1">
      <c r="B28" s="276"/>
      <c r="C28" s="277" t="s">
        <v>163</v>
      </c>
      <c r="D28" s="278" t="s">
        <v>426</v>
      </c>
      <c r="E28" s="259"/>
      <c r="F28" s="259"/>
      <c r="G28" s="259"/>
    </row>
    <row r="29" spans="2:8" ht="14.4">
      <c r="B29" s="279" t="s">
        <v>123</v>
      </c>
      <c r="C29" s="539">
        <f>'Paliwa opałowe'!I21</f>
        <v>42936.773690350143</v>
      </c>
      <c r="D29" s="540">
        <f>'Paliwa opałowe'!I29</f>
        <v>44343.132694858527</v>
      </c>
      <c r="E29" s="259"/>
      <c r="F29" s="259"/>
      <c r="G29" s="259"/>
    </row>
    <row r="30" spans="2:8" ht="14.4">
      <c r="B30" s="280" t="s">
        <v>102</v>
      </c>
      <c r="C30" s="537">
        <f>F15+'Obiekty publiczne'!D57+'Obiekty publiczne'!D65+'Obiekty publiczne'!D69+'Obiekty publiczne'!D61</f>
        <v>2955.7932900000001</v>
      </c>
      <c r="D30" s="541">
        <f>F22+'Obiekty publiczne'!D57+'Obiekty publiczne'!D65+'Obiekty publiczne'!D69+'Obiekty publiczne'!D61</f>
        <v>2955.7932900000001</v>
      </c>
      <c r="E30" s="259"/>
      <c r="F30" s="259"/>
      <c r="G30" s="259"/>
    </row>
    <row r="31" spans="2:8" ht="14.4">
      <c r="B31" s="280" t="s">
        <v>124</v>
      </c>
      <c r="C31" s="542">
        <f>Gaz!F12-Gaz!F7</f>
        <v>234.9833749999998</v>
      </c>
      <c r="D31" s="543">
        <f>Gaz!F22-Gaz!F17</f>
        <v>243.99757224837504</v>
      </c>
      <c r="E31" s="259"/>
      <c r="F31" s="259"/>
      <c r="G31" s="259"/>
    </row>
    <row r="32" spans="2:8" ht="14.7" thickBot="1">
      <c r="B32" s="281" t="s">
        <v>7</v>
      </c>
      <c r="C32" s="538">
        <f t="shared" ref="C32:D32" si="3">SUM(C29:C31)</f>
        <v>46127.550355350148</v>
      </c>
      <c r="D32" s="538">
        <f t="shared" si="3"/>
        <v>47542.9235571069</v>
      </c>
      <c r="E32" s="259"/>
      <c r="F32" s="259"/>
      <c r="G32" s="259"/>
    </row>
    <row r="33" spans="2:8">
      <c r="B33" s="259"/>
      <c r="C33" s="259"/>
      <c r="D33" s="259"/>
      <c r="E33" s="259"/>
      <c r="F33" s="259"/>
      <c r="G33" s="259"/>
      <c r="H33" s="259"/>
    </row>
  </sheetData>
  <mergeCells count="2">
    <mergeCell ref="B2:G2"/>
    <mergeCell ref="B26:G26"/>
  </mergeCells>
  <pageMargins left="0.7" right="0.7" top="0.75" bottom="0.75" header="0.3" footer="0.3"/>
  <pageSetup paperSize="9" scale="57" orientation="portrait" horizontalDpi="4294967295" verticalDpi="4294967295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B1:J34"/>
  <sheetViews>
    <sheetView view="pageBreakPreview" topLeftCell="B9" zoomScale="80" zoomScaleNormal="80" zoomScaleSheetLayoutView="80" workbookViewId="0">
      <selection activeCell="C12" sqref="C12"/>
    </sheetView>
  </sheetViews>
  <sheetFormatPr defaultRowHeight="13.8"/>
  <cols>
    <col min="1" max="1" width="7" customWidth="1"/>
    <col min="2" max="2" width="29.09375" customWidth="1"/>
    <col min="3" max="3" width="19.7109375" customWidth="1"/>
    <col min="4" max="4" width="20.90234375" customWidth="1"/>
    <col min="5" max="5" width="20.28515625" customWidth="1"/>
    <col min="6" max="6" width="19.37890625" customWidth="1"/>
    <col min="7" max="7" width="21" customWidth="1"/>
    <col min="8" max="8" width="21.37890625" customWidth="1"/>
    <col min="9" max="9" width="16.1875" customWidth="1"/>
    <col min="10" max="10" width="15.80859375" customWidth="1"/>
    <col min="11" max="11" width="20.1875" customWidth="1"/>
    <col min="12" max="12" width="20" customWidth="1"/>
  </cols>
  <sheetData>
    <row r="1" spans="2:10" ht="14.1" thickBot="1"/>
    <row r="2" spans="2:10" ht="18" thickBot="1">
      <c r="B2" s="915" t="s">
        <v>125</v>
      </c>
      <c r="C2" s="916"/>
      <c r="D2" s="916"/>
      <c r="E2" s="917"/>
    </row>
    <row r="3" spans="2:10" ht="17.399999999999999">
      <c r="B3" s="133"/>
      <c r="C3" s="133"/>
      <c r="D3" s="133"/>
      <c r="E3" s="133"/>
      <c r="F3" s="133"/>
    </row>
    <row r="4" spans="2:10" ht="17.7" thickBot="1">
      <c r="B4" s="133"/>
      <c r="C4" s="133"/>
      <c r="D4" s="133"/>
      <c r="E4" s="133"/>
      <c r="F4" s="133"/>
    </row>
    <row r="5" spans="2:10" ht="41.25" customHeight="1" thickBot="1">
      <c r="B5" s="134" t="s">
        <v>126</v>
      </c>
      <c r="C5" s="133" t="str">
        <f>'Ciepło systemowe'!F11</f>
        <v>Emisja [MG CO2]</v>
      </c>
      <c r="D5" s="133"/>
      <c r="E5" s="133"/>
      <c r="F5" s="133"/>
    </row>
    <row r="6" spans="2:10" ht="73.2">
      <c r="B6" s="135"/>
      <c r="C6" s="136">
        <v>2015</v>
      </c>
      <c r="D6" s="234" t="s">
        <v>285</v>
      </c>
      <c r="E6" s="234" t="s">
        <v>423</v>
      </c>
      <c r="G6" s="135"/>
      <c r="H6" s="136">
        <v>2015</v>
      </c>
      <c r="I6" s="234" t="str">
        <f>D6</f>
        <v>prognoza 2020 bez inwestycji oszczędnościowych</v>
      </c>
      <c r="J6" s="234" t="str">
        <f>E6</f>
        <v>prognoza 2020 z inwestycjami oszczędnościowymi*</v>
      </c>
    </row>
    <row r="7" spans="2:10" ht="18.3">
      <c r="B7" s="137" t="s">
        <v>127</v>
      </c>
      <c r="C7" s="481">
        <f>Prąd!L11+Oświetlenie!I14+'Obiekty publiczne'!D53</f>
        <v>40902.146890240001</v>
      </c>
      <c r="D7" s="482">
        <f>Prąd!F21+Oświetlenie!I30+'Obiekty publiczne'!D53</f>
        <v>41658.000419160009</v>
      </c>
      <c r="E7" s="482">
        <f>(C7-'redukcja - wyliczenie'!M2)</f>
        <v>38774.522280024801</v>
      </c>
      <c r="F7" s="708"/>
      <c r="G7" s="137" t="s">
        <v>127</v>
      </c>
      <c r="H7" s="148">
        <f>C7/$C$12</f>
        <v>0.27078190575588434</v>
      </c>
      <c r="I7" s="148">
        <f>D7/$D$12</f>
        <v>0.25482939347532174</v>
      </c>
      <c r="J7" s="148">
        <f>E7/$E$12</f>
        <v>0.26637797002154884</v>
      </c>
    </row>
    <row r="8" spans="2:10" ht="18.3">
      <c r="B8" s="137" t="s">
        <v>34</v>
      </c>
      <c r="C8" s="481">
        <f>Gaz!F12+'Obiekty publiczne'!D57</f>
        <v>9262.1845662499982</v>
      </c>
      <c r="D8" s="482">
        <f>Gaz!F22+'Obiekty publiczne'!D57</f>
        <v>9195.6745788857115</v>
      </c>
      <c r="E8" s="482">
        <f>(C8-'redukcja - wyliczenie'!M3)</f>
        <v>9262.1845662499982</v>
      </c>
      <c r="F8" s="708"/>
      <c r="G8" s="137" t="s">
        <v>34</v>
      </c>
      <c r="H8" s="148">
        <f>C8/$C$12</f>
        <v>6.1317856860720818E-2</v>
      </c>
      <c r="I8" s="148">
        <f>D8/$D$12</f>
        <v>5.6251575974734014E-2</v>
      </c>
      <c r="J8" s="148">
        <f>E8/$E$12</f>
        <v>6.3630491818944368E-2</v>
      </c>
    </row>
    <row r="9" spans="2:10" ht="18.3">
      <c r="B9" s="138" t="s">
        <v>128</v>
      </c>
      <c r="C9" s="479">
        <f>Tranzyt!L16</f>
        <v>56618.031973320067</v>
      </c>
      <c r="D9" s="480">
        <f>Tranzyt!M16</f>
        <v>66902.692280294446</v>
      </c>
      <c r="E9" s="480">
        <f>C9-'redukcja - wyliczenie'!M4</f>
        <v>55230.885671218857</v>
      </c>
      <c r="F9" s="708"/>
      <c r="G9" s="138" t="s">
        <v>128</v>
      </c>
      <c r="H9" s="148">
        <f>C9/$C$12</f>
        <v>0.3748247894914653</v>
      </c>
      <c r="I9" s="148">
        <f>D9/$D$12</f>
        <v>0.40925566095611687</v>
      </c>
      <c r="J9" s="148">
        <f>E9/$E$12</f>
        <v>0.37943191411466487</v>
      </c>
    </row>
    <row r="10" spans="2:10" ht="18.3">
      <c r="B10" s="138" t="s">
        <v>129</v>
      </c>
      <c r="C10" s="479">
        <f>'Paliwa opałowe'!I21-'Paliwa opałowe'!I16+'Obiekty publiczne'!D65+'Obiekty publiczne'!D69</f>
        <v>41293.431816409488</v>
      </c>
      <c r="D10" s="480">
        <f>'Paliwa opałowe'!I29-'Paliwa opałowe'!I24+'Obiekty publiczne'!D65+'Obiekty publiczne'!D69</f>
        <v>42633.864164278421</v>
      </c>
      <c r="E10" s="480">
        <f>(C10-'redukcja - wyliczenie'!M5)</f>
        <v>39318.254237235771</v>
      </c>
      <c r="F10" s="708"/>
      <c r="G10" s="138" t="s">
        <v>129</v>
      </c>
      <c r="H10" s="148">
        <f>C10/$C$12</f>
        <v>0.27337230469719287</v>
      </c>
      <c r="I10" s="148">
        <f>D10/$D$12</f>
        <v>0.26079892546871775</v>
      </c>
      <c r="J10" s="148">
        <f>E10/$E$12</f>
        <v>0.27011336652628715</v>
      </c>
    </row>
    <row r="11" spans="2:10" ht="18.3">
      <c r="B11" s="138" t="s">
        <v>109</v>
      </c>
      <c r="C11" s="479">
        <f>'Ciepło systemowe'!F16</f>
        <v>2976.1990739406524</v>
      </c>
      <c r="D11" s="480">
        <f>'Ciepło systemowe'!F23</f>
        <v>3083.8476305801009</v>
      </c>
      <c r="E11" s="480">
        <f>(C11-'redukcja - wyliczenie'!M6)</f>
        <v>2976.1990739406524</v>
      </c>
      <c r="F11" s="708"/>
      <c r="G11" s="138" t="s">
        <v>109</v>
      </c>
      <c r="H11" s="148">
        <f>C11/$C$12</f>
        <v>1.9703143194736573E-2</v>
      </c>
      <c r="I11" s="148">
        <f>D11/$D$12</f>
        <v>1.8864444125109573E-2</v>
      </c>
      <c r="J11" s="148">
        <f>E11/$E$12</f>
        <v>2.0446257518554719E-2</v>
      </c>
    </row>
    <row r="12" spans="2:10" ht="18.600000000000001" thickBot="1">
      <c r="B12" s="139" t="s">
        <v>7</v>
      </c>
      <c r="C12" s="140">
        <f>SUM(C7:C11)</f>
        <v>151051.99432016021</v>
      </c>
      <c r="D12" s="140">
        <f t="shared" ref="D12" si="0">SUM(D7:D11)</f>
        <v>163474.07907319869</v>
      </c>
      <c r="E12" s="140">
        <f>SUM(E7:E11)</f>
        <v>145562.04582867009</v>
      </c>
      <c r="F12" s="142"/>
      <c r="G12" s="139" t="s">
        <v>7</v>
      </c>
      <c r="H12" s="158">
        <f>SUM(H7:H11)</f>
        <v>0.99999999999999989</v>
      </c>
      <c r="I12" s="158">
        <f>SUM(I7:I11)</f>
        <v>1</v>
      </c>
      <c r="J12" s="158">
        <f>SUM(J7:J11)</f>
        <v>0.99999999999999989</v>
      </c>
    </row>
    <row r="13" spans="2:10" ht="55.8" customHeight="1">
      <c r="B13" s="918" t="s">
        <v>427</v>
      </c>
      <c r="C13" s="918"/>
      <c r="D13" s="918"/>
      <c r="E13" s="918"/>
      <c r="F13" s="235"/>
    </row>
    <row r="14" spans="2:10" ht="17.7" thickBot="1">
      <c r="B14" s="133"/>
      <c r="C14" s="133"/>
      <c r="D14" s="133"/>
      <c r="E14" s="133"/>
      <c r="F14" s="133"/>
      <c r="G14" s="142"/>
    </row>
    <row r="15" spans="2:10" ht="35.25" customHeight="1" thickBot="1">
      <c r="B15" s="134" t="s">
        <v>130</v>
      </c>
      <c r="C15" s="133" t="str">
        <f>C5</f>
        <v>Emisja [MG CO2]</v>
      </c>
      <c r="D15" s="133"/>
      <c r="E15" s="133"/>
      <c r="F15" s="133"/>
      <c r="G15" s="134" t="s">
        <v>459</v>
      </c>
      <c r="H15" s="133">
        <f>'Ciepło systemowe'!K21</f>
        <v>0</v>
      </c>
      <c r="I15" s="133"/>
      <c r="J15" s="133"/>
    </row>
    <row r="16" spans="2:10" ht="73.2">
      <c r="B16" s="135"/>
      <c r="C16" s="136">
        <v>2015</v>
      </c>
      <c r="D16" s="234" t="str">
        <f>D6</f>
        <v>prognoza 2020 bez inwestycji oszczędnościowych</v>
      </c>
      <c r="E16" s="234" t="str">
        <f>E6</f>
        <v>prognoza 2020 z inwestycjami oszczędnościowymi*</v>
      </c>
      <c r="F16" s="591"/>
      <c r="G16" s="135"/>
      <c r="H16" s="136">
        <v>2015</v>
      </c>
      <c r="I16" s="234" t="s">
        <v>285</v>
      </c>
      <c r="J16" s="234" t="s">
        <v>423</v>
      </c>
    </row>
    <row r="17" spans="2:10" ht="18.3">
      <c r="B17" s="137" t="s">
        <v>123</v>
      </c>
      <c r="C17" s="236">
        <f>'Paliwa opałowe'!I21+Gaz!F7+Prąd!L9</f>
        <v>67886.125631600153</v>
      </c>
      <c r="D17" s="237">
        <f>'Paliwa opałowe'!I29+Gaz!F17+Prąd!F19</f>
        <v>69566.973980415874</v>
      </c>
      <c r="E17" s="237">
        <f>(C17-'redukcja - wyliczenie'!M8)</f>
        <v>65527.169516525348</v>
      </c>
      <c r="F17" s="709"/>
      <c r="G17" s="137" t="s">
        <v>127</v>
      </c>
      <c r="H17" s="481">
        <f>Prąd!J11+Oświetlenie!G14+'Obiekty publiczne'!B53</f>
        <v>45957.468416000003</v>
      </c>
      <c r="I17" s="482">
        <f>Prąd!D21+Oświetlenie!G30+'Obiekty publiczne'!B53</f>
        <v>46806.742044000006</v>
      </c>
      <c r="J17" s="482">
        <f>(H17-'redukcja - wyliczenie'!N2)</f>
        <v>43566.87896632</v>
      </c>
    </row>
    <row r="18" spans="2:10" ht="18.3">
      <c r="B18" s="137" t="s">
        <v>124</v>
      </c>
      <c r="C18" s="236">
        <f>'Ciepło systemowe'!F13+'Ciepło systemowe'!F14+Prąd!L7+Prąd!L8+Gaz!F8+Gaz!F9+Gaz!F10</f>
        <v>22515.036575000002</v>
      </c>
      <c r="D18" s="237">
        <f>'Ciepło systemowe'!F20+'Ciepło systemowe'!F21+Prąd!F17+Prąd!F18+Gaz!F18+Gaz!F19+Gaz!F20</f>
        <v>22971.612672248382</v>
      </c>
      <c r="E18" s="237">
        <f>(C18-'redukcja - wyliczenie'!M9)</f>
        <v>21573.597869685891</v>
      </c>
      <c r="F18" s="709"/>
      <c r="G18" s="137" t="s">
        <v>34</v>
      </c>
      <c r="H18" s="481">
        <f>(Gaz!D12/'Założenia 2 - Dane wejściowe'!K36)+('Obiekty publiczne'!B57/'Założenia 2 - Dane wejściowe'!K36)</f>
        <v>46778.709930555546</v>
      </c>
      <c r="I18" s="481">
        <f>(Gaz!D22/'Założenia 2 - Dane wejściowe'!K36)+('Obiekty publiczne'!B57/'Założenia 2 - Dane wejściowe'!K36)</f>
        <v>46442.80090346319</v>
      </c>
      <c r="J18" s="482">
        <f>(H18-'redukcja - wyliczenie'!N3)</f>
        <v>46778.709930555546</v>
      </c>
    </row>
    <row r="19" spans="2:10" ht="18.3">
      <c r="B19" s="138" t="s">
        <v>131</v>
      </c>
      <c r="C19" s="238">
        <f>Tranzyt!L15</f>
        <v>34706.210444570068</v>
      </c>
      <c r="D19" s="238">
        <f>Tranzyt!M15</f>
        <v>40726.815172232804</v>
      </c>
      <c r="E19" s="238">
        <f>C19-'redukcja - wyliczenie'!M10</f>
        <v>33622.065920244328</v>
      </c>
      <c r="F19" s="709"/>
      <c r="G19" s="138" t="s">
        <v>129</v>
      </c>
      <c r="H19" s="479">
        <f>(ROUND('Paliwa opałowe'!G21/'Założenia 2 - Dane wejściowe'!K36,2))+(ROUND('Obiekty publiczne'!B65/'Założenia 2 - Dane wejściowe'!K36,2))+(ROUND('Ciepło systemowe'!D16/'Założenia 2 - Dane wejściowe'!K36,2))</f>
        <v>132563.07</v>
      </c>
      <c r="I19" s="480">
        <f>'Paliwa opałowe'!N39-'Paliwa opałowe'!N34+'Obiekty publiczne'!I75+'Obiekty publiczne'!I79</f>
        <v>0</v>
      </c>
      <c r="J19" s="480">
        <f>(H19-'redukcja - wyliczenie'!R15)*97%</f>
        <v>128586.17790000001</v>
      </c>
    </row>
    <row r="20" spans="2:10" ht="18.600000000000001" thickBot="1">
      <c r="B20" s="138" t="s">
        <v>73</v>
      </c>
      <c r="C20" s="238">
        <f>Tranzyt!L14</f>
        <v>21911.821528749999</v>
      </c>
      <c r="D20" s="238">
        <f>Tranzyt!M14</f>
        <v>26175.877108061643</v>
      </c>
      <c r="E20" s="238">
        <f>C20-'redukcja - wyliczenie'!M11</f>
        <v>21608.81975097453</v>
      </c>
      <c r="F20" s="709"/>
      <c r="G20" s="139" t="s">
        <v>7</v>
      </c>
      <c r="H20" s="140">
        <f>SUM(H17:H19)</f>
        <v>225299.24834655557</v>
      </c>
      <c r="I20" s="140">
        <f>SUM(I17:I19)</f>
        <v>93249.542947463196</v>
      </c>
      <c r="J20" s="140">
        <f>SUM(J17:J19)</f>
        <v>218931.76679687557</v>
      </c>
    </row>
    <row r="21" spans="2:10" ht="18.3">
      <c r="B21" s="138" t="s">
        <v>39</v>
      </c>
      <c r="C21" s="238">
        <f>Oświetlenie!I34</f>
        <v>361.92866024000006</v>
      </c>
      <c r="D21" s="239">
        <f>Oświetlenie!I35</f>
        <v>361.92866024000006</v>
      </c>
      <c r="E21" s="239">
        <f>(C21-'redukcja - wyliczenie'!M12)</f>
        <v>361.92866024000006</v>
      </c>
      <c r="F21" s="709"/>
    </row>
    <row r="22" spans="2:10" ht="18.3">
      <c r="B22" s="138" t="s">
        <v>102</v>
      </c>
      <c r="C22" s="240">
        <f>'Obiekty publiczne'!I53</f>
        <v>3670.8714800000002</v>
      </c>
      <c r="D22" s="241">
        <f>'Obiekty publiczne'!I53</f>
        <v>3670.8714800000002</v>
      </c>
      <c r="E22" s="241">
        <f>(C22-'redukcja - wyliczenie'!M13)</f>
        <v>2868.4641110000002</v>
      </c>
      <c r="F22" s="709"/>
      <c r="G22" s="644" t="s">
        <v>582</v>
      </c>
    </row>
    <row r="23" spans="2:10" ht="18.3">
      <c r="B23" s="138" t="s">
        <v>132</v>
      </c>
      <c r="C23" s="238">
        <v>0</v>
      </c>
      <c r="D23" s="238">
        <v>0</v>
      </c>
      <c r="E23" s="238">
        <f>C23-'redukcja - wyliczenie'!M14</f>
        <v>0</v>
      </c>
      <c r="F23" s="709"/>
      <c r="G23" s="2" t="str">
        <f>B19</f>
        <v>Transport lokalny</v>
      </c>
      <c r="H23" s="642">
        <f>C19</f>
        <v>34706.210444570068</v>
      </c>
      <c r="I23" s="643">
        <f>H23/H$25</f>
        <v>0.61298864045512147</v>
      </c>
      <c r="J23" s="307"/>
    </row>
    <row r="24" spans="2:10" ht="18.600000000000001" thickBot="1">
      <c r="B24" s="139" t="s">
        <v>7</v>
      </c>
      <c r="C24" s="140">
        <f>SUM(C17:C23)</f>
        <v>151051.99432016021</v>
      </c>
      <c r="D24" s="140">
        <f t="shared" ref="D24:E24" si="1">SUM(D17:D23)</f>
        <v>163474.07907319872</v>
      </c>
      <c r="E24" s="140">
        <f t="shared" si="1"/>
        <v>145562.04582867012</v>
      </c>
      <c r="F24" s="709"/>
      <c r="G24" s="2" t="str">
        <f>B20</f>
        <v>Tranzyt</v>
      </c>
      <c r="H24" s="642">
        <f>C20</f>
        <v>21911.821528749999</v>
      </c>
      <c r="I24" s="643">
        <f>H24/H$25</f>
        <v>0.38701135954487847</v>
      </c>
      <c r="J24" s="307"/>
    </row>
    <row r="25" spans="2:10" ht="14.1">
      <c r="G25" s="646" t="s">
        <v>7</v>
      </c>
      <c r="H25" s="645">
        <f>H23+H24</f>
        <v>56618.031973320067</v>
      </c>
      <c r="I25" s="647">
        <f>I23+I24</f>
        <v>1</v>
      </c>
    </row>
    <row r="27" spans="2:10">
      <c r="C27" s="142">
        <f>C24-C12</f>
        <v>0</v>
      </c>
      <c r="D27" s="142">
        <f>D24-D12</f>
        <v>0</v>
      </c>
      <c r="E27" s="142">
        <f>E24-E12</f>
        <v>0</v>
      </c>
      <c r="F27" s="142"/>
    </row>
    <row r="28" spans="2:10">
      <c r="H28" s="142"/>
    </row>
    <row r="29" spans="2:10">
      <c r="H29" s="142"/>
    </row>
    <row r="34" spans="8:8">
      <c r="H34" s="142"/>
    </row>
  </sheetData>
  <mergeCells count="2">
    <mergeCell ref="B2:E2"/>
    <mergeCell ref="B13:E13"/>
  </mergeCells>
  <pageMargins left="0.7" right="0.7" top="0.75" bottom="0.75" header="0.3" footer="0.3"/>
  <pageSetup paperSize="9" scale="34" orientation="portrait" horizontalDpi="4294967295" verticalDpi="4294967295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B1:E19"/>
  <sheetViews>
    <sheetView view="pageBreakPreview" zoomScale="70" zoomScaleNormal="70" zoomScaleSheetLayoutView="70" workbookViewId="0">
      <selection activeCell="E7" sqref="E7"/>
    </sheetView>
  </sheetViews>
  <sheetFormatPr defaultRowHeight="13.8"/>
  <cols>
    <col min="2" max="2" width="27" customWidth="1"/>
    <col min="3" max="3" width="22.37890625" customWidth="1"/>
    <col min="4" max="4" width="16.6171875" customWidth="1"/>
    <col min="5" max="5" width="26.90234375" customWidth="1"/>
    <col min="6" max="6" width="25.1875" customWidth="1"/>
    <col min="7" max="7" width="22.37890625" customWidth="1"/>
  </cols>
  <sheetData>
    <row r="1" spans="2:5" ht="14.1" thickBot="1"/>
    <row r="2" spans="2:5" ht="16.5" thickBot="1">
      <c r="B2" s="919" t="s">
        <v>137</v>
      </c>
      <c r="C2" s="920"/>
      <c r="D2" s="920"/>
      <c r="E2" s="921"/>
    </row>
    <row r="5" spans="2:5" ht="21.75" customHeight="1" thickBot="1">
      <c r="B5" s="78" t="s">
        <v>126</v>
      </c>
    </row>
    <row r="6" spans="2:5" ht="43.2">
      <c r="B6" s="244" t="s">
        <v>133</v>
      </c>
      <c r="C6" s="245">
        <v>2015</v>
      </c>
      <c r="D6" s="246" t="str">
        <f>BILANS!D6</f>
        <v>prognoza 2020 bez inwestycji oszczędnościowych</v>
      </c>
      <c r="E6" s="247" t="str">
        <f>BILANS!E6</f>
        <v>prognoza 2020 z inwestycjami oszczędnościowymi*</v>
      </c>
    </row>
    <row r="7" spans="2:5" ht="16.8">
      <c r="B7" s="72" t="s">
        <v>134</v>
      </c>
      <c r="C7" s="143">
        <f>BILANS!C24*1000</f>
        <v>151051994.32016021</v>
      </c>
      <c r="D7" s="143">
        <f>BILANS!D24*1000</f>
        <v>163474079.07319874</v>
      </c>
      <c r="E7" s="251">
        <f>BILANS!E24*1000</f>
        <v>145562045.82867011</v>
      </c>
    </row>
    <row r="8" spans="2:5" ht="14.7" thickBot="1">
      <c r="B8" s="252" t="s">
        <v>135</v>
      </c>
      <c r="C8" s="253">
        <f>'Założenia 2 - Dane wejściowe'!I24</f>
        <v>21335</v>
      </c>
      <c r="D8" s="254">
        <f>'Założenia 2 - Dane wejściowe'!J24</f>
        <v>20694.95</v>
      </c>
      <c r="E8" s="255">
        <f>'Założenia 2 - Dane wejściowe'!J24</f>
        <v>20694.95</v>
      </c>
    </row>
    <row r="12" spans="2:5" ht="27" customHeight="1" thickBot="1">
      <c r="B12" s="141" t="s">
        <v>151</v>
      </c>
    </row>
    <row r="13" spans="2:5" ht="43.2">
      <c r="B13" s="244" t="s">
        <v>133</v>
      </c>
      <c r="C13" s="245">
        <f>C6</f>
        <v>2015</v>
      </c>
      <c r="D13" s="246" t="str">
        <f>D6</f>
        <v>prognoza 2020 bez inwestycji oszczędnościowych</v>
      </c>
      <c r="E13" s="247" t="str">
        <f t="shared" ref="E13" si="0">E6</f>
        <v>prognoza 2020 z inwestycjami oszczędnościowymi*</v>
      </c>
    </row>
    <row r="14" spans="2:5" ht="17.100000000000001" thickBot="1">
      <c r="B14" s="248" t="s">
        <v>136</v>
      </c>
      <c r="C14" s="249">
        <f t="shared" ref="C14" si="1">C7/365</f>
        <v>413841.08032920607</v>
      </c>
      <c r="D14" s="249">
        <f>D7/365</f>
        <v>447874.18924164039</v>
      </c>
      <c r="E14" s="250">
        <f>E7/365</f>
        <v>398800.12555800029</v>
      </c>
    </row>
    <row r="17" spans="2:5" ht="27" customHeight="1">
      <c r="B17" s="141" t="s">
        <v>152</v>
      </c>
    </row>
    <row r="18" spans="2:5" ht="43.2">
      <c r="B18" s="79" t="s">
        <v>133</v>
      </c>
      <c r="C18" s="79">
        <f>C13</f>
        <v>2015</v>
      </c>
      <c r="D18" s="242" t="str">
        <f>D13</f>
        <v>prognoza 2020 bez inwestycji oszczędnościowych</v>
      </c>
      <c r="E18" s="242" t="str">
        <f t="shared" ref="E18" si="2">E13</f>
        <v>prognoza 2020 z inwestycjami oszczędnościowymi*</v>
      </c>
    </row>
    <row r="19" spans="2:5" ht="16.8">
      <c r="B19" s="243" t="s">
        <v>136</v>
      </c>
      <c r="C19" s="112">
        <f t="shared" ref="C19" si="3">C14/C8</f>
        <v>19.397285227523135</v>
      </c>
      <c r="D19" s="470">
        <f>D14/D8</f>
        <v>21.64171400470358</v>
      </c>
      <c r="E19" s="112">
        <f>E14/E8</f>
        <v>19.270407783444767</v>
      </c>
    </row>
  </sheetData>
  <mergeCells count="1">
    <mergeCell ref="B2:E2"/>
  </mergeCells>
  <pageMargins left="0.7" right="0.7" top="0.75" bottom="0.75" header="0.3" footer="0.3"/>
  <pageSetup paperSize="9" scale="57" orientation="portrait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C3:F17"/>
  <sheetViews>
    <sheetView view="pageBreakPreview" zoomScale="90" zoomScaleNormal="100" zoomScaleSheetLayoutView="90" workbookViewId="0">
      <selection activeCell="E8" sqref="E8"/>
    </sheetView>
  </sheetViews>
  <sheetFormatPr defaultRowHeight="13.8"/>
  <cols>
    <col min="3" max="4" width="22.90234375" customWidth="1"/>
    <col min="5" max="5" width="25.47265625" customWidth="1"/>
    <col min="6" max="6" width="24.09375" customWidth="1"/>
  </cols>
  <sheetData>
    <row r="3" spans="3:6">
      <c r="C3" t="s">
        <v>580</v>
      </c>
    </row>
    <row r="5" spans="3:6" ht="14.7" thickBot="1">
      <c r="C5" s="648" t="s">
        <v>174</v>
      </c>
      <c r="D5" s="649"/>
      <c r="E5" s="649"/>
      <c r="F5" s="649"/>
    </row>
    <row r="6" spans="3:6" ht="15.6" thickBot="1">
      <c r="C6" s="648" t="s">
        <v>175</v>
      </c>
      <c r="D6" s="188">
        <v>3.5000000000000003E-2</v>
      </c>
      <c r="E6" s="179">
        <f>BILANS!C12*CELE!D6</f>
        <v>5286.8198012056082</v>
      </c>
      <c r="F6" s="189" t="s">
        <v>176</v>
      </c>
    </row>
    <row r="7" spans="3:6" ht="15.6" thickBot="1">
      <c r="C7" s="650" t="s">
        <v>177</v>
      </c>
      <c r="D7" s="188">
        <v>0.03</v>
      </c>
      <c r="E7" s="179">
        <f>D12*D7</f>
        <v>1378.72420248</v>
      </c>
      <c r="F7" s="189" t="s">
        <v>178</v>
      </c>
    </row>
    <row r="8" spans="3:6" ht="29.1" thickBot="1">
      <c r="C8" s="650" t="s">
        <v>179</v>
      </c>
      <c r="D8" s="188">
        <v>3.6999999999999998E-2</v>
      </c>
      <c r="E8" s="179">
        <f>D16*D8</f>
        <v>8336.0723763919996</v>
      </c>
      <c r="F8" s="189" t="s">
        <v>178</v>
      </c>
    </row>
    <row r="11" spans="3:6" ht="14.4">
      <c r="C11" s="651" t="s">
        <v>181</v>
      </c>
      <c r="D11" s="652" t="s">
        <v>411</v>
      </c>
      <c r="E11" s="651" t="s">
        <v>180</v>
      </c>
    </row>
    <row r="12" spans="3:6" ht="14.4">
      <c r="C12" s="651" t="s">
        <v>127</v>
      </c>
      <c r="D12" s="180">
        <f>Prąd!J11+Oświetlenie!G14+'Obiekty publiczne'!D45</f>
        <v>45957.473416000001</v>
      </c>
      <c r="E12" s="180" t="s">
        <v>172</v>
      </c>
    </row>
    <row r="13" spans="3:6" ht="14.4">
      <c r="C13" s="651" t="s">
        <v>34</v>
      </c>
      <c r="D13" s="180">
        <f>ROUND(E13/'Założenia 2 - Dane wejściowe'!K36,2)</f>
        <v>46778.71</v>
      </c>
      <c r="E13" s="180">
        <f>Gaz!D12+'Obiekty publiczne'!B57</f>
        <v>168403.35574999999</v>
      </c>
    </row>
    <row r="14" spans="3:6" ht="43.2">
      <c r="C14" s="715" t="s">
        <v>650</v>
      </c>
      <c r="D14" s="180">
        <f>ROUNDDOWN(E14/'Założenia 2 - Dane wejściowe'!K36,2)</f>
        <v>132563.07</v>
      </c>
      <c r="E14" s="180">
        <f>'Paliwa opałowe'!G21+'Obiekty publiczne'!B65+'Ciepło systemowe'!D16</f>
        <v>477227.07127596432</v>
      </c>
    </row>
    <row r="15" spans="3:6" ht="14.4">
      <c r="C15" s="651" t="s">
        <v>172</v>
      </c>
      <c r="D15" s="180"/>
      <c r="E15" s="180"/>
    </row>
    <row r="16" spans="3:6" ht="14.4">
      <c r="C16" s="651"/>
      <c r="D16" s="181">
        <f>SUM(D12:D15)</f>
        <v>225299.25341599999</v>
      </c>
      <c r="E16" s="2"/>
    </row>
    <row r="17" spans="3:4">
      <c r="C17" t="s">
        <v>416</v>
      </c>
      <c r="D17" s="484"/>
    </row>
  </sheetData>
  <pageMargins left="0.7" right="0.7" top="0.75" bottom="0.75" header="0.3" footer="0.3"/>
  <pageSetup paperSize="9" scale="71"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</sheetPr>
  <dimension ref="A1:Q216"/>
  <sheetViews>
    <sheetView view="pageBreakPreview" topLeftCell="A32" zoomScale="80" zoomScaleNormal="80" zoomScaleSheetLayoutView="80" workbookViewId="0">
      <selection activeCell="C125" sqref="C125"/>
    </sheetView>
  </sheetViews>
  <sheetFormatPr defaultRowHeight="13.8"/>
  <cols>
    <col min="2" max="2" width="38.37890625" customWidth="1"/>
    <col min="3" max="3" width="20.09375" customWidth="1"/>
    <col min="4" max="4" width="16" style="307" customWidth="1"/>
    <col min="5" max="5" width="16.7109375" customWidth="1"/>
    <col min="6" max="6" width="13.6171875" customWidth="1"/>
    <col min="7" max="7" width="14.1875" customWidth="1"/>
    <col min="8" max="8" width="16.09375" customWidth="1"/>
    <col min="9" max="9" width="14.09375" customWidth="1"/>
    <col min="10" max="10" width="13.09375" customWidth="1"/>
    <col min="11" max="11" width="12.1875" customWidth="1"/>
    <col min="12" max="12" width="11.37890625" customWidth="1"/>
    <col min="13" max="13" width="11.6171875" customWidth="1"/>
    <col min="14" max="14" width="12.90234375" customWidth="1"/>
    <col min="15" max="15" width="13" customWidth="1"/>
    <col min="16" max="16" width="13.90234375" customWidth="1"/>
    <col min="17" max="17" width="12.6171875" customWidth="1"/>
  </cols>
  <sheetData>
    <row r="1" spans="1:17">
      <c r="D1" s="523" t="s">
        <v>192</v>
      </c>
      <c r="E1">
        <f>'Obiekty publiczne'!C69</f>
        <v>7.5999999999999998E-2</v>
      </c>
    </row>
    <row r="2" spans="1:17">
      <c r="D2" s="523" t="s">
        <v>193</v>
      </c>
      <c r="E2">
        <f>'Obiekty publiczne'!C61</f>
        <v>9.4E-2</v>
      </c>
    </row>
    <row r="3" spans="1:17">
      <c r="D3" s="523" t="s">
        <v>194</v>
      </c>
      <c r="E3">
        <f>'Obiekty publiczne'!C53</f>
        <v>0.89</v>
      </c>
    </row>
    <row r="4" spans="1:17">
      <c r="D4" s="523" t="s">
        <v>195</v>
      </c>
      <c r="E4">
        <f>'Obiekty publiczne'!C57</f>
        <v>5.5E-2</v>
      </c>
    </row>
    <row r="5" spans="1:17">
      <c r="D5" s="523" t="s">
        <v>196</v>
      </c>
      <c r="E5">
        <f>'Obiekty publiczne'!C65</f>
        <v>9.8000000000000004E-2</v>
      </c>
    </row>
    <row r="6" spans="1:17" ht="42" customHeight="1" thickBot="1">
      <c r="A6" s="195" t="s">
        <v>224</v>
      </c>
      <c r="B6" s="930" t="s">
        <v>581</v>
      </c>
      <c r="C6" s="930"/>
      <c r="D6" s="930"/>
      <c r="E6" s="930"/>
      <c r="F6" s="930"/>
      <c r="G6" s="930"/>
      <c r="J6" s="195" t="s">
        <v>234</v>
      </c>
      <c r="K6" s="931" t="s">
        <v>209</v>
      </c>
      <c r="L6" s="931"/>
      <c r="M6" s="931"/>
      <c r="N6" s="931"/>
      <c r="O6" s="931"/>
      <c r="P6" s="931"/>
      <c r="Q6" s="931"/>
    </row>
    <row r="7" spans="1:17" ht="57.9" thickBot="1">
      <c r="A7" s="632" t="s">
        <v>164</v>
      </c>
      <c r="B7" s="633" t="s">
        <v>170</v>
      </c>
      <c r="C7" s="634" t="s">
        <v>80</v>
      </c>
      <c r="D7" s="635" t="s">
        <v>81</v>
      </c>
      <c r="E7" s="636" t="s">
        <v>183</v>
      </c>
      <c r="F7" s="637" t="s">
        <v>184</v>
      </c>
      <c r="G7" s="637" t="s">
        <v>190</v>
      </c>
      <c r="H7" s="637" t="s">
        <v>191</v>
      </c>
      <c r="I7" s="636" t="s">
        <v>185</v>
      </c>
      <c r="J7" s="636" t="s">
        <v>186</v>
      </c>
      <c r="K7" s="636" t="s">
        <v>187</v>
      </c>
      <c r="L7" s="636" t="s">
        <v>188</v>
      </c>
      <c r="M7" s="636" t="s">
        <v>189</v>
      </c>
      <c r="N7" s="636" t="s">
        <v>202</v>
      </c>
      <c r="O7" s="636" t="s">
        <v>203</v>
      </c>
      <c r="P7" s="636" t="s">
        <v>197</v>
      </c>
      <c r="Q7" s="636" t="s">
        <v>198</v>
      </c>
    </row>
    <row r="8" spans="1:17" s="103" customFormat="1" ht="14.7" thickBot="1">
      <c r="A8" s="522">
        <v>1</v>
      </c>
      <c r="B8" s="161" t="str">
        <f>'Obiekty publiczne'!C5</f>
        <v>Urząd Miejski u Rynek 45 w Szprotawie</v>
      </c>
      <c r="C8" s="160" t="str">
        <f>'Obiekty publiczne'!E5</f>
        <v>gaz</v>
      </c>
      <c r="D8" s="524">
        <f>'Obiekty publiczne'!F5</f>
        <v>671.97949999999992</v>
      </c>
      <c r="E8" s="638">
        <v>0</v>
      </c>
      <c r="F8" s="639">
        <f t="shared" ref="F8:F45" si="0">D8-D8*E8</f>
        <v>671.97949999999992</v>
      </c>
      <c r="G8" s="639">
        <f t="shared" ref="G8:G45" si="1">D8*E8</f>
        <v>0</v>
      </c>
      <c r="H8" s="639">
        <f>G8*$E$4</f>
        <v>0</v>
      </c>
      <c r="I8" s="639">
        <v>0</v>
      </c>
      <c r="J8" s="662">
        <v>0</v>
      </c>
      <c r="K8" s="663">
        <f t="shared" ref="K8:K35" si="2">J8</f>
        <v>0</v>
      </c>
      <c r="L8" s="662">
        <f>K8*E3</f>
        <v>0</v>
      </c>
      <c r="M8" s="664">
        <f t="shared" ref="M8:M12" si="3">J8*6000</f>
        <v>0</v>
      </c>
      <c r="N8" s="664"/>
      <c r="O8" s="664"/>
      <c r="P8" s="663"/>
      <c r="Q8" s="663"/>
    </row>
    <row r="9" spans="1:17" s="103" customFormat="1" ht="29.1" thickBot="1">
      <c r="A9" s="522">
        <v>2</v>
      </c>
      <c r="B9" s="161" t="str">
        <f>'Obiekty publiczne'!C6</f>
        <v>Stadion w Szprotawie, ul. Sobieskiego 68 w Szprotawie Nr tel. 68 376 13 70</v>
      </c>
      <c r="C9" s="160" t="str">
        <f>'Obiekty publiczne'!E6</f>
        <v>gaz</v>
      </c>
      <c r="D9" s="524">
        <f>'Obiekty publiczne'!F6</f>
        <v>71</v>
      </c>
      <c r="E9" s="638">
        <v>0</v>
      </c>
      <c r="F9" s="639">
        <f t="shared" si="0"/>
        <v>71</v>
      </c>
      <c r="G9" s="639">
        <f t="shared" si="1"/>
        <v>0</v>
      </c>
      <c r="H9" s="639">
        <f t="shared" ref="H9:H12" si="4">G9*$E$4</f>
        <v>0</v>
      </c>
      <c r="I9" s="639">
        <v>0</v>
      </c>
      <c r="J9" s="662">
        <v>0</v>
      </c>
      <c r="K9" s="663">
        <f t="shared" si="2"/>
        <v>0</v>
      </c>
      <c r="L9" s="662">
        <f>K9*E3</f>
        <v>0</v>
      </c>
      <c r="M9" s="664">
        <f t="shared" si="3"/>
        <v>0</v>
      </c>
      <c r="N9" s="664"/>
      <c r="O9" s="664"/>
      <c r="P9" s="663"/>
      <c r="Q9" s="663"/>
    </row>
    <row r="10" spans="1:17" s="549" customFormat="1" ht="29.1" thickBot="1">
      <c r="A10" s="522">
        <v>3</v>
      </c>
      <c r="B10" s="161" t="str">
        <f>'Obiekty publiczne'!C7</f>
        <v>Stadion w Lesznie Górnym, ul. Bolesławiecka, 67 – 321 Leszno Górne Nr tel. 68 376 13 70</v>
      </c>
      <c r="C10" s="160" t="str">
        <f>'Obiekty publiczne'!E7</f>
        <v>węgiel</v>
      </c>
      <c r="D10" s="524">
        <f>'Obiekty publiczne'!F7</f>
        <v>60</v>
      </c>
      <c r="E10" s="638">
        <v>0</v>
      </c>
      <c r="F10" s="639">
        <f t="shared" si="0"/>
        <v>60</v>
      </c>
      <c r="G10" s="639">
        <f t="shared" si="1"/>
        <v>0</v>
      </c>
      <c r="H10" s="639">
        <f>G10*$E$5</f>
        <v>0</v>
      </c>
      <c r="I10" s="639">
        <v>0</v>
      </c>
      <c r="J10" s="662">
        <v>0</v>
      </c>
      <c r="K10" s="663">
        <f t="shared" si="2"/>
        <v>0</v>
      </c>
      <c r="L10" s="662">
        <f>K10*E3</f>
        <v>0</v>
      </c>
      <c r="M10" s="664">
        <f t="shared" si="3"/>
        <v>0</v>
      </c>
      <c r="N10" s="664"/>
      <c r="O10" s="664"/>
      <c r="P10" s="663"/>
      <c r="Q10" s="663"/>
    </row>
    <row r="11" spans="1:17" s="983" customFormat="1" ht="43.5" thickBot="1">
      <c r="A11" s="548" t="s">
        <v>647</v>
      </c>
      <c r="B11" s="517" t="str">
        <f>'Obiekty publiczne'!C8</f>
        <v>Szkoła Podstawowa w Wiechlicach, Szkoła Filialna w Długiem, Długie 79, 67-312 Niegosławice, nr tel. 68 376 80 15</v>
      </c>
      <c r="C11" s="518" t="str">
        <f>'Obiekty publiczne'!E8</f>
        <v>węgiel</v>
      </c>
      <c r="D11" s="525">
        <f>'Obiekty publiczne'!F8</f>
        <v>1392</v>
      </c>
      <c r="E11" s="519">
        <v>0.45</v>
      </c>
      <c r="F11" s="520">
        <f t="shared" si="0"/>
        <v>765.6</v>
      </c>
      <c r="G11" s="520">
        <f t="shared" si="1"/>
        <v>626.4</v>
      </c>
      <c r="H11" s="520">
        <f>G11*$E$5</f>
        <v>61.3872</v>
      </c>
      <c r="I11" s="520">
        <v>950000</v>
      </c>
      <c r="J11" s="980">
        <v>20</v>
      </c>
      <c r="K11" s="982">
        <f t="shared" si="2"/>
        <v>20</v>
      </c>
      <c r="L11" s="980">
        <f>K11*E3</f>
        <v>17.8</v>
      </c>
      <c r="M11" s="981">
        <f t="shared" si="3"/>
        <v>120000</v>
      </c>
      <c r="N11" s="987"/>
      <c r="O11" s="987"/>
      <c r="P11" s="982" t="s">
        <v>648</v>
      </c>
      <c r="Q11" s="982" t="s">
        <v>648</v>
      </c>
    </row>
    <row r="12" spans="1:17" s="103" customFormat="1" ht="29.1" thickBot="1">
      <c r="A12" s="522">
        <v>5</v>
      </c>
      <c r="B12" s="161" t="str">
        <f>'Obiekty publiczne'!C9</f>
        <v>OPS, ul. Krasińskiego 23, 67 – 300 Szprotawa, nr tel. 68 376 32 30</v>
      </c>
      <c r="C12" s="160" t="str">
        <f>'Obiekty publiczne'!E9</f>
        <v>gaz</v>
      </c>
      <c r="D12" s="524">
        <f>'Obiekty publiczne'!F9</f>
        <v>53.249999999999993</v>
      </c>
      <c r="E12" s="638">
        <v>0</v>
      </c>
      <c r="F12" s="639">
        <f t="shared" si="0"/>
        <v>53.249999999999993</v>
      </c>
      <c r="G12" s="639">
        <f t="shared" si="1"/>
        <v>0</v>
      </c>
      <c r="H12" s="639">
        <f t="shared" si="4"/>
        <v>0</v>
      </c>
      <c r="I12" s="639">
        <v>0</v>
      </c>
      <c r="J12" s="662">
        <v>0</v>
      </c>
      <c r="K12" s="663">
        <f t="shared" si="2"/>
        <v>0</v>
      </c>
      <c r="L12" s="662">
        <f>K12*E3</f>
        <v>0</v>
      </c>
      <c r="M12" s="664">
        <f t="shared" si="3"/>
        <v>0</v>
      </c>
      <c r="N12" s="664"/>
      <c r="O12" s="664"/>
      <c r="P12" s="663"/>
      <c r="Q12" s="663"/>
    </row>
    <row r="13" spans="1:17" s="521" customFormat="1" ht="43.5" thickBot="1">
      <c r="A13" s="548" t="s">
        <v>596</v>
      </c>
      <c r="B13" s="517" t="str">
        <f>'Obiekty publiczne'!C10</f>
        <v xml:space="preserve">Szkoła Podstawowa w Wiechlicach, Szkoła Filialna w Siecieborzycach, Siecieborzyce 49A, 67-320 Małomice </v>
      </c>
      <c r="C13" s="518" t="str">
        <f>'Obiekty publiczne'!E10</f>
        <v>węgiel</v>
      </c>
      <c r="D13" s="525">
        <f>'Obiekty publiczne'!F10</f>
        <v>1000.08</v>
      </c>
      <c r="E13" s="519">
        <v>0.6</v>
      </c>
      <c r="F13" s="520">
        <f t="shared" si="0"/>
        <v>400.03200000000004</v>
      </c>
      <c r="G13" s="520">
        <f t="shared" si="1"/>
        <v>600.048</v>
      </c>
      <c r="H13" s="520">
        <f>G13*$E$5</f>
        <v>58.804704000000001</v>
      </c>
      <c r="I13" s="520">
        <v>450000</v>
      </c>
      <c r="J13" s="980">
        <v>20</v>
      </c>
      <c r="K13" s="980">
        <f t="shared" si="2"/>
        <v>20</v>
      </c>
      <c r="L13" s="980">
        <f>K13*E3</f>
        <v>17.8</v>
      </c>
      <c r="M13" s="981">
        <f>J13*6000</f>
        <v>120000</v>
      </c>
      <c r="N13" s="981"/>
      <c r="O13" s="981"/>
      <c r="P13" s="982" t="s">
        <v>438</v>
      </c>
      <c r="Q13" s="982" t="s">
        <v>438</v>
      </c>
    </row>
    <row r="14" spans="1:17" s="521" customFormat="1" ht="43.5" thickBot="1">
      <c r="A14" s="548" t="s">
        <v>586</v>
      </c>
      <c r="B14" s="517" t="str">
        <f>'Obiekty publiczne'!C11</f>
        <v>Szkoła Podstawowa nr 2 w Szprotawie , ul. Sobieskiego 58, 67–300 Szprotawanr tel. 6 8 376  59 07,</v>
      </c>
      <c r="C14" s="518" t="str">
        <f>'Obiekty publiczne'!E11</f>
        <v>gaz</v>
      </c>
      <c r="D14" s="525">
        <f>'Obiekty publiczne'!F11</f>
        <v>1430.011</v>
      </c>
      <c r="E14" s="519">
        <v>0.45</v>
      </c>
      <c r="F14" s="520">
        <f t="shared" si="0"/>
        <v>786.50604999999996</v>
      </c>
      <c r="G14" s="520">
        <f t="shared" si="1"/>
        <v>643.50495000000001</v>
      </c>
      <c r="H14" s="520">
        <f>G14*$E$4</f>
        <v>35.39277225</v>
      </c>
      <c r="I14" s="520">
        <v>1000000</v>
      </c>
      <c r="J14" s="980">
        <v>20</v>
      </c>
      <c r="K14" s="980">
        <f t="shared" si="2"/>
        <v>20</v>
      </c>
      <c r="L14" s="980">
        <f>K14*E3</f>
        <v>17.8</v>
      </c>
      <c r="M14" s="981">
        <f t="shared" ref="M14:M35" si="5">J14*6000</f>
        <v>120000</v>
      </c>
      <c r="N14" s="981"/>
      <c r="O14" s="981"/>
      <c r="P14" s="982" t="s">
        <v>438</v>
      </c>
      <c r="Q14" s="982" t="s">
        <v>438</v>
      </c>
    </row>
    <row r="15" spans="1:17" s="521" customFormat="1" ht="29.1" thickBot="1">
      <c r="A15" s="548" t="s">
        <v>583</v>
      </c>
      <c r="B15" s="517" t="str">
        <f>'Obiekty publiczne'!C12</f>
        <v xml:space="preserve">Szkoła Podstawowa nr 1 ul. Krasińskiego 7 w Szprotawie </v>
      </c>
      <c r="C15" s="160" t="str">
        <f>'Obiekty publiczne'!E12</f>
        <v>gaz</v>
      </c>
      <c r="D15" s="524">
        <f>'Obiekty publiczne'!F12</f>
        <v>500.97599999999994</v>
      </c>
      <c r="E15" s="757">
        <v>0</v>
      </c>
      <c r="F15" s="758">
        <f t="shared" si="0"/>
        <v>500.97599999999994</v>
      </c>
      <c r="G15" s="758">
        <f t="shared" si="1"/>
        <v>0</v>
      </c>
      <c r="H15" s="758">
        <f t="shared" ref="H15:H21" si="6">G15*$E$4</f>
        <v>0</v>
      </c>
      <c r="I15" s="758">
        <v>0</v>
      </c>
      <c r="J15" s="980">
        <v>20</v>
      </c>
      <c r="K15" s="980">
        <f t="shared" si="2"/>
        <v>20</v>
      </c>
      <c r="L15" s="980">
        <f>K15*E3</f>
        <v>17.8</v>
      </c>
      <c r="M15" s="981">
        <f t="shared" si="5"/>
        <v>120000</v>
      </c>
      <c r="N15" s="981"/>
      <c r="O15" s="981"/>
      <c r="P15" s="982" t="s">
        <v>438</v>
      </c>
      <c r="Q15" s="982" t="s">
        <v>438</v>
      </c>
    </row>
    <row r="16" spans="1:17" s="521" customFormat="1" ht="29.1" thickBot="1">
      <c r="A16" s="548" t="s">
        <v>584</v>
      </c>
      <c r="B16" s="517" t="str">
        <f>'Obiekty publiczne'!C13</f>
        <v>Szkoła Podstawowa nr 1 ul. Kopernika 22 w Szprotawie, tel. 68 376 24 02</v>
      </c>
      <c r="C16" s="518" t="str">
        <f>'Obiekty publiczne'!E13</f>
        <v>gaz</v>
      </c>
      <c r="D16" s="525">
        <f>'Obiekty publiczne'!F13</f>
        <v>1474.4569999999999</v>
      </c>
      <c r="E16" s="519">
        <v>0.45</v>
      </c>
      <c r="F16" s="520">
        <f t="shared" si="0"/>
        <v>810.95134999999993</v>
      </c>
      <c r="G16" s="520">
        <f t="shared" si="1"/>
        <v>663.50564999999995</v>
      </c>
      <c r="H16" s="520">
        <f t="shared" si="6"/>
        <v>36.492810749999997</v>
      </c>
      <c r="I16" s="520">
        <v>1000000</v>
      </c>
      <c r="J16" s="980">
        <v>20</v>
      </c>
      <c r="K16" s="980">
        <f t="shared" si="2"/>
        <v>20</v>
      </c>
      <c r="L16" s="980">
        <f>K16*E3</f>
        <v>17.8</v>
      </c>
      <c r="M16" s="981">
        <f t="shared" si="5"/>
        <v>120000</v>
      </c>
      <c r="N16" s="981"/>
      <c r="O16" s="981"/>
      <c r="P16" s="982" t="s">
        <v>438</v>
      </c>
      <c r="Q16" s="982" t="s">
        <v>438</v>
      </c>
    </row>
    <row r="17" spans="1:17" s="983" customFormat="1" ht="29.1" thickBot="1">
      <c r="A17" s="548" t="s">
        <v>585</v>
      </c>
      <c r="B17" s="517" t="str">
        <f>'Obiekty publiczne'!C14</f>
        <v>Szkoła Podstawowa nr 1 w Szprotawie, Pl. Kościelny 3</v>
      </c>
      <c r="C17" s="518" t="str">
        <f>'Obiekty publiczne'!E14</f>
        <v>gaz</v>
      </c>
      <c r="D17" s="525">
        <f>'Obiekty publiczne'!F14</f>
        <v>697.75249999999994</v>
      </c>
      <c r="E17" s="519">
        <v>0.6</v>
      </c>
      <c r="F17" s="520">
        <f t="shared" si="0"/>
        <v>279.101</v>
      </c>
      <c r="G17" s="520">
        <f t="shared" si="1"/>
        <v>418.65149999999994</v>
      </c>
      <c r="H17" s="520">
        <f t="shared" si="6"/>
        <v>23.025832499999996</v>
      </c>
      <c r="I17" s="520">
        <v>700000</v>
      </c>
      <c r="J17" s="980">
        <v>20</v>
      </c>
      <c r="K17" s="980">
        <f t="shared" si="2"/>
        <v>20</v>
      </c>
      <c r="L17" s="980">
        <f>K17*E3</f>
        <v>17.8</v>
      </c>
      <c r="M17" s="981">
        <f t="shared" si="5"/>
        <v>120000</v>
      </c>
      <c r="N17" s="981"/>
      <c r="O17" s="981"/>
      <c r="P17" s="982" t="s">
        <v>438</v>
      </c>
      <c r="Q17" s="982" t="s">
        <v>438</v>
      </c>
    </row>
    <row r="18" spans="1:17" s="549" customFormat="1" ht="33" customHeight="1" thickBot="1">
      <c r="A18" s="548">
        <v>11</v>
      </c>
      <c r="B18" s="517" t="str">
        <f>'Obiekty publiczne'!C15</f>
        <v>Zespół Szkół Nr 1  w Szprotawie  ul. Sienkiewicza 2</v>
      </c>
      <c r="C18" s="160" t="str">
        <f>'Obiekty publiczne'!E15</f>
        <v>gaz</v>
      </c>
      <c r="D18" s="524">
        <f>'Obiekty publiczne'!F15</f>
        <v>330.39849999999996</v>
      </c>
      <c r="E18" s="984">
        <v>0</v>
      </c>
      <c r="F18" s="985">
        <f t="shared" si="0"/>
        <v>330.39849999999996</v>
      </c>
      <c r="G18" s="985">
        <f t="shared" si="1"/>
        <v>0</v>
      </c>
      <c r="H18" s="985">
        <f t="shared" si="6"/>
        <v>0</v>
      </c>
      <c r="I18" s="985">
        <v>0</v>
      </c>
      <c r="J18" s="986">
        <v>0</v>
      </c>
      <c r="K18" s="986">
        <f t="shared" si="2"/>
        <v>0</v>
      </c>
      <c r="L18" s="986">
        <f>K18*E3</f>
        <v>0</v>
      </c>
      <c r="M18" s="987">
        <f t="shared" si="5"/>
        <v>0</v>
      </c>
      <c r="N18" s="987"/>
      <c r="O18" s="987"/>
      <c r="P18" s="988"/>
      <c r="Q18" s="988"/>
    </row>
    <row r="19" spans="1:17" s="983" customFormat="1" ht="29.1" thickBot="1">
      <c r="A19" s="548">
        <v>12</v>
      </c>
      <c r="B19" s="517" t="str">
        <f>'Obiekty publiczne'!C16</f>
        <v>Przedszkole Nr 2 ul. Parkowa 4, 67 – 300 Szprotawa nr tel. 68 376 26 91</v>
      </c>
      <c r="C19" s="160" t="str">
        <f>'Obiekty publiczne'!E16</f>
        <v>gaz</v>
      </c>
      <c r="D19" s="524">
        <f>'Obiekty publiczne'!F16</f>
        <v>355.07099999999997</v>
      </c>
      <c r="E19" s="984">
        <v>0</v>
      </c>
      <c r="F19" s="985">
        <f>D19-D19*E19</f>
        <v>355.07099999999997</v>
      </c>
      <c r="G19" s="985">
        <f t="shared" si="1"/>
        <v>0</v>
      </c>
      <c r="H19" s="985">
        <f t="shared" si="6"/>
        <v>0</v>
      </c>
      <c r="I19" s="985">
        <v>0</v>
      </c>
      <c r="J19" s="980">
        <v>20</v>
      </c>
      <c r="K19" s="980">
        <f t="shared" si="2"/>
        <v>20</v>
      </c>
      <c r="L19" s="980">
        <f>K19*E3</f>
        <v>17.8</v>
      </c>
      <c r="M19" s="981">
        <f t="shared" si="5"/>
        <v>120000</v>
      </c>
      <c r="N19" s="981"/>
      <c r="O19" s="981"/>
      <c r="P19" s="982"/>
      <c r="Q19" s="982" t="s">
        <v>438</v>
      </c>
    </row>
    <row r="20" spans="1:17" s="983" customFormat="1" ht="29.1" thickBot="1">
      <c r="A20" s="548" t="s">
        <v>452</v>
      </c>
      <c r="B20" s="517" t="str">
        <f>'Obiekty publiczne'!C17</f>
        <v>Przedszkole Nr 1 ul. Rolna 1, 67 – 300 Szprotawa nr tel. 68 376 33 04</v>
      </c>
      <c r="C20" s="518" t="str">
        <f>'Obiekty publiczne'!E17</f>
        <v>gaz</v>
      </c>
      <c r="D20" s="525">
        <f>'Obiekty publiczne'!F17</f>
        <v>348.78749999999997</v>
      </c>
      <c r="E20" s="519">
        <v>0.6</v>
      </c>
      <c r="F20" s="520">
        <f t="shared" si="0"/>
        <v>139.51499999999999</v>
      </c>
      <c r="G20" s="520">
        <f t="shared" si="1"/>
        <v>209.27249999999998</v>
      </c>
      <c r="H20" s="520">
        <f t="shared" si="6"/>
        <v>11.509987499999999</v>
      </c>
      <c r="I20" s="520">
        <v>1200000</v>
      </c>
      <c r="J20" s="980">
        <v>20</v>
      </c>
      <c r="K20" s="980">
        <f t="shared" si="2"/>
        <v>20</v>
      </c>
      <c r="L20" s="980">
        <f>K20*$E$3</f>
        <v>17.8</v>
      </c>
      <c r="M20" s="981">
        <f t="shared" si="5"/>
        <v>120000</v>
      </c>
      <c r="N20" s="981"/>
      <c r="O20" s="981"/>
      <c r="P20" s="982" t="s">
        <v>438</v>
      </c>
      <c r="Q20" s="982" t="s">
        <v>438</v>
      </c>
    </row>
    <row r="21" spans="1:17" s="983" customFormat="1" ht="29.1" thickBot="1">
      <c r="A21" s="548" t="s">
        <v>590</v>
      </c>
      <c r="B21" s="517" t="str">
        <f>'Obiekty publiczne'!C18</f>
        <v>Szkoły Podstawowej w Wiechlicach, ul. Brzozowa 17, nr tel. 68 376 75 53</v>
      </c>
      <c r="C21" s="518" t="str">
        <f>'Obiekty publiczne'!E18</f>
        <v>gaz</v>
      </c>
      <c r="D21" s="525">
        <f>'Obiekty publiczne'!F18</f>
        <v>658.66699999999992</v>
      </c>
      <c r="E21" s="519">
        <v>0.6</v>
      </c>
      <c r="F21" s="520">
        <f t="shared" si="0"/>
        <v>263.46679999999998</v>
      </c>
      <c r="G21" s="520">
        <f t="shared" si="1"/>
        <v>395.20019999999994</v>
      </c>
      <c r="H21" s="520">
        <f t="shared" si="6"/>
        <v>21.736010999999998</v>
      </c>
      <c r="I21" s="520">
        <v>3000000</v>
      </c>
      <c r="J21" s="980">
        <v>20</v>
      </c>
      <c r="K21" s="980">
        <f t="shared" si="2"/>
        <v>20</v>
      </c>
      <c r="L21" s="980">
        <f t="shared" ref="L21:L35" si="7">K21*$E$3</f>
        <v>17.8</v>
      </c>
      <c r="M21" s="981">
        <f t="shared" si="5"/>
        <v>120000</v>
      </c>
      <c r="N21" s="981"/>
      <c r="O21" s="981"/>
      <c r="P21" s="982" t="s">
        <v>438</v>
      </c>
      <c r="Q21" s="982" t="s">
        <v>438</v>
      </c>
    </row>
    <row r="22" spans="1:17" s="983" customFormat="1" ht="43.5" thickBot="1">
      <c r="A22" s="548" t="s">
        <v>649</v>
      </c>
      <c r="B22" s="517" t="str">
        <f>'Obiekty publiczne'!C19</f>
        <v>Szkoła Podstawowa w Wiechlicach, Szkoła Filialna Leszno Górne, ul. Szkolna 2a, 67-321 Leszno Górne, nr tel. 68 376 65 07</v>
      </c>
      <c r="C22" s="518" t="str">
        <f>'Obiekty publiczne'!E19</f>
        <v>węgiel</v>
      </c>
      <c r="D22" s="525">
        <f>'Obiekty publiczne'!F19</f>
        <v>883.19999999999993</v>
      </c>
      <c r="E22" s="519">
        <v>0.45</v>
      </c>
      <c r="F22" s="520">
        <f t="shared" si="0"/>
        <v>485.75999999999993</v>
      </c>
      <c r="G22" s="520">
        <f t="shared" si="1"/>
        <v>397.44</v>
      </c>
      <c r="H22" s="557">
        <f>G22*$E$5</f>
        <v>38.949120000000001</v>
      </c>
      <c r="I22" s="520">
        <v>500000</v>
      </c>
      <c r="J22" s="980">
        <v>20</v>
      </c>
      <c r="K22" s="980">
        <f t="shared" si="2"/>
        <v>20</v>
      </c>
      <c r="L22" s="980">
        <f t="shared" si="7"/>
        <v>17.8</v>
      </c>
      <c r="M22" s="981">
        <f t="shared" si="5"/>
        <v>120000</v>
      </c>
      <c r="N22" s="981"/>
      <c r="O22" s="981"/>
      <c r="P22" s="982" t="s">
        <v>648</v>
      </c>
      <c r="Q22" s="982" t="s">
        <v>648</v>
      </c>
    </row>
    <row r="23" spans="1:17" s="103" customFormat="1" ht="29.1" thickBot="1">
      <c r="A23" s="522">
        <v>16</v>
      </c>
      <c r="B23" s="161" t="str">
        <f>'Obiekty publiczne'!C20</f>
        <v>Dom Kultury, ul. Mickiewicza 1, 67 – 300 Szprotawa nr tel. 68 376 24 01</v>
      </c>
      <c r="C23" s="160" t="str">
        <f>'Obiekty publiczne'!E20</f>
        <v>gaz</v>
      </c>
      <c r="D23" s="524">
        <f>'Obiekty publiczne'!F20</f>
        <v>438.14099999999996</v>
      </c>
      <c r="E23" s="638">
        <v>0</v>
      </c>
      <c r="F23" s="639">
        <f t="shared" si="0"/>
        <v>438.14099999999996</v>
      </c>
      <c r="G23" s="639">
        <f t="shared" si="1"/>
        <v>0</v>
      </c>
      <c r="H23" s="640">
        <f>G23*$E$4</f>
        <v>0</v>
      </c>
      <c r="I23" s="639">
        <v>0</v>
      </c>
      <c r="J23" s="662">
        <v>0</v>
      </c>
      <c r="K23" s="662">
        <f t="shared" si="2"/>
        <v>0</v>
      </c>
      <c r="L23" s="662">
        <f t="shared" si="7"/>
        <v>0</v>
      </c>
      <c r="M23" s="664">
        <f t="shared" si="5"/>
        <v>0</v>
      </c>
      <c r="N23" s="664"/>
      <c r="O23" s="664"/>
      <c r="P23" s="663"/>
      <c r="Q23" s="663"/>
    </row>
    <row r="24" spans="1:17" s="983" customFormat="1" ht="43.5" thickBot="1">
      <c r="A24" s="548">
        <v>17</v>
      </c>
      <c r="B24" s="517" t="str">
        <f>'Obiekty publiczne'!C21</f>
        <v>Szprotawskie Wodociągi i Kanalizacja, ul. Chrobrego 1, 67 – 300 Szprotawa, nr tel. 68 376 25 26</v>
      </c>
      <c r="C24" s="518" t="str">
        <f>'Obiekty publiczne'!E21</f>
        <v>gaz</v>
      </c>
      <c r="D24" s="525">
        <f>'Obiekty publiczne'!F21</f>
        <v>1265.7169999999999</v>
      </c>
      <c r="E24" s="519">
        <v>0.6</v>
      </c>
      <c r="F24" s="520">
        <f t="shared" si="0"/>
        <v>506.28679999999997</v>
      </c>
      <c r="G24" s="520">
        <f t="shared" si="1"/>
        <v>759.4301999999999</v>
      </c>
      <c r="H24" s="557">
        <f>G24*$E$4</f>
        <v>41.768660999999994</v>
      </c>
      <c r="I24" s="520">
        <v>1044755.16</v>
      </c>
      <c r="J24" s="980">
        <v>20</v>
      </c>
      <c r="K24" s="980">
        <f t="shared" si="2"/>
        <v>20</v>
      </c>
      <c r="L24" s="980">
        <f t="shared" si="7"/>
        <v>17.8</v>
      </c>
      <c r="M24" s="981">
        <v>88006.5</v>
      </c>
      <c r="N24" s="981"/>
      <c r="O24" s="981"/>
      <c r="P24" s="982" t="s">
        <v>618</v>
      </c>
      <c r="Q24" s="982" t="s">
        <v>618</v>
      </c>
    </row>
    <row r="25" spans="1:17" s="549" customFormat="1" ht="43.5" thickBot="1">
      <c r="A25" s="522">
        <v>18</v>
      </c>
      <c r="B25" s="161" t="str">
        <f>'Obiekty publiczne'!C22</f>
        <v>Szprotawski Zarząd Nieruchomościami „Chrobry” Sp. z o.o. ul. Chrobrego 15, 67 – 300 Szprotawa, nr tel. 68 376 33 56</v>
      </c>
      <c r="C25" s="160" t="str">
        <f>'Obiekty publiczne'!E22</f>
        <v>węgiel</v>
      </c>
      <c r="D25" s="524">
        <f>'Obiekty publiczne'!F22</f>
        <v>160.80000000000001</v>
      </c>
      <c r="E25" s="638">
        <v>0</v>
      </c>
      <c r="F25" s="639">
        <f t="shared" si="0"/>
        <v>160.80000000000001</v>
      </c>
      <c r="G25" s="639">
        <f t="shared" si="1"/>
        <v>0</v>
      </c>
      <c r="H25" s="640">
        <f>G25*$E$5</f>
        <v>0</v>
      </c>
      <c r="I25" s="639">
        <v>0</v>
      </c>
      <c r="J25" s="662">
        <v>0</v>
      </c>
      <c r="K25" s="662">
        <f t="shared" si="2"/>
        <v>0</v>
      </c>
      <c r="L25" s="662">
        <f t="shared" si="7"/>
        <v>0</v>
      </c>
      <c r="M25" s="664">
        <f t="shared" si="5"/>
        <v>0</v>
      </c>
      <c r="N25" s="664"/>
      <c r="O25" s="664"/>
      <c r="P25" s="663"/>
      <c r="Q25" s="663"/>
    </row>
    <row r="26" spans="1:17" s="103" customFormat="1" ht="29.1" thickBot="1">
      <c r="A26" s="522">
        <v>19</v>
      </c>
      <c r="B26" s="161" t="str">
        <f>'Obiekty publiczne'!C23</f>
        <v>Zespół Szkół Ponadgimnazjalnych im. Bolesława Chrobrego ul. Niepodległości 7, 67 – 300 Szprotawa</v>
      </c>
      <c r="C26" s="160" t="str">
        <f>'Obiekty publiczne'!E23</f>
        <v>gaz</v>
      </c>
      <c r="D26" s="524">
        <f>'Obiekty publiczne'!F23</f>
        <v>1258.2619999999999</v>
      </c>
      <c r="E26" s="638">
        <v>0</v>
      </c>
      <c r="F26" s="639">
        <f t="shared" si="0"/>
        <v>1258.2619999999999</v>
      </c>
      <c r="G26" s="639">
        <f t="shared" si="1"/>
        <v>0</v>
      </c>
      <c r="H26" s="640">
        <f>G26*$E$4</f>
        <v>0</v>
      </c>
      <c r="I26" s="639">
        <v>0</v>
      </c>
      <c r="J26" s="662">
        <v>0</v>
      </c>
      <c r="K26" s="662">
        <f t="shared" si="2"/>
        <v>0</v>
      </c>
      <c r="L26" s="662">
        <f t="shared" si="7"/>
        <v>0</v>
      </c>
      <c r="M26" s="664">
        <f t="shared" si="5"/>
        <v>0</v>
      </c>
      <c r="N26" s="664"/>
      <c r="O26" s="664"/>
      <c r="P26" s="663"/>
      <c r="Q26" s="663"/>
    </row>
    <row r="27" spans="1:17" s="103" customFormat="1" ht="29.1" thickBot="1">
      <c r="A27" s="522">
        <v>20</v>
      </c>
      <c r="B27" s="161" t="str">
        <f>'Obiekty publiczne'!C24</f>
        <v xml:space="preserve">Zespół Szkół Centrum Kształcenia Rolniczego, ul. Henrykowska 54 , 67-300 Szprotawa                          </v>
      </c>
      <c r="C27" s="160" t="str">
        <f>'Obiekty publiczne'!E24</f>
        <v>gaz</v>
      </c>
      <c r="D27" s="524">
        <f>'Obiekty publiczne'!F24</f>
        <v>942.66699999999992</v>
      </c>
      <c r="E27" s="638">
        <v>0</v>
      </c>
      <c r="F27" s="639">
        <f t="shared" si="0"/>
        <v>942.66699999999992</v>
      </c>
      <c r="G27" s="639">
        <f t="shared" si="1"/>
        <v>0</v>
      </c>
      <c r="H27" s="640">
        <f t="shared" ref="H27:H29" si="8">G27*$E$4</f>
        <v>0</v>
      </c>
      <c r="I27" s="639">
        <v>0</v>
      </c>
      <c r="J27" s="662">
        <v>0</v>
      </c>
      <c r="K27" s="662">
        <f t="shared" si="2"/>
        <v>0</v>
      </c>
      <c r="L27" s="662">
        <f t="shared" si="7"/>
        <v>0</v>
      </c>
      <c r="M27" s="664">
        <f t="shared" si="5"/>
        <v>0</v>
      </c>
      <c r="N27" s="664"/>
      <c r="O27" s="664"/>
      <c r="P27" s="663"/>
      <c r="Q27" s="663"/>
    </row>
    <row r="28" spans="1:17" s="103" customFormat="1" ht="29.1" thickBot="1">
      <c r="A28" s="522">
        <v>21</v>
      </c>
      <c r="B28" s="161" t="str">
        <f>'Obiekty publiczne'!C25</f>
        <v xml:space="preserve">Państwowa Szkoła Muzyczna I-stopnia w Szprotawie ul. Konopnickiej 4 67-300 Szprotawa </v>
      </c>
      <c r="C28" s="160" t="str">
        <f>'Obiekty publiczne'!E25</f>
        <v>gaz</v>
      </c>
      <c r="D28" s="524">
        <f>'Obiekty publiczne'!F25</f>
        <v>1345.0594999999998</v>
      </c>
      <c r="E28" s="638">
        <v>0</v>
      </c>
      <c r="F28" s="639">
        <f t="shared" si="0"/>
        <v>1345.0594999999998</v>
      </c>
      <c r="G28" s="639">
        <f t="shared" si="1"/>
        <v>0</v>
      </c>
      <c r="H28" s="640">
        <f t="shared" si="8"/>
        <v>0</v>
      </c>
      <c r="I28" s="639">
        <v>0</v>
      </c>
      <c r="J28" s="662">
        <v>0</v>
      </c>
      <c r="K28" s="662">
        <f t="shared" si="2"/>
        <v>0</v>
      </c>
      <c r="L28" s="662">
        <f t="shared" si="7"/>
        <v>0</v>
      </c>
      <c r="M28" s="664">
        <f t="shared" si="5"/>
        <v>0</v>
      </c>
      <c r="N28" s="664"/>
      <c r="O28" s="664"/>
      <c r="P28" s="663"/>
      <c r="Q28" s="663"/>
    </row>
    <row r="29" spans="1:17" s="103" customFormat="1" ht="29.1" thickBot="1">
      <c r="A29" s="522">
        <v>22</v>
      </c>
      <c r="B29" s="161" t="str">
        <f>'Obiekty publiczne'!C26</f>
        <v>Zespół Szkół Zawodowych im. S. Staszica, ul. Koszarowa 10, 67 – 300 Szprotawa</v>
      </c>
      <c r="C29" s="160" t="str">
        <f>'Obiekty publiczne'!E26</f>
        <v>gaz</v>
      </c>
      <c r="D29" s="524">
        <f>'Obiekty publiczne'!F26</f>
        <v>1940.6074999999998</v>
      </c>
      <c r="E29" s="638">
        <v>0</v>
      </c>
      <c r="F29" s="639">
        <f t="shared" si="0"/>
        <v>1940.6074999999998</v>
      </c>
      <c r="G29" s="639">
        <f t="shared" si="1"/>
        <v>0</v>
      </c>
      <c r="H29" s="640">
        <f t="shared" si="8"/>
        <v>0</v>
      </c>
      <c r="I29" s="639">
        <v>0</v>
      </c>
      <c r="J29" s="662">
        <v>0</v>
      </c>
      <c r="K29" s="662">
        <f t="shared" si="2"/>
        <v>0</v>
      </c>
      <c r="L29" s="662">
        <f t="shared" si="7"/>
        <v>0</v>
      </c>
      <c r="M29" s="664">
        <f t="shared" si="5"/>
        <v>0</v>
      </c>
      <c r="N29" s="664"/>
      <c r="O29" s="664"/>
      <c r="P29" s="663"/>
      <c r="Q29" s="663"/>
    </row>
    <row r="30" spans="1:17" s="103" customFormat="1" ht="27" customHeight="1" thickBot="1">
      <c r="A30" s="522">
        <v>23</v>
      </c>
      <c r="B30" s="161" t="str">
        <f>'Obiekty publiczne'!C27</f>
        <v>Miejska Biblioteka Publiczna w Szprotawie</v>
      </c>
      <c r="C30" s="160" t="str">
        <f>'Obiekty publiczne'!E27</f>
        <v>sieć ciepłownicza</v>
      </c>
      <c r="D30" s="524">
        <f>'Obiekty publiczne'!F27</f>
        <v>461.44</v>
      </c>
      <c r="E30" s="638">
        <v>0</v>
      </c>
      <c r="F30" s="639">
        <f t="shared" si="0"/>
        <v>461.44</v>
      </c>
      <c r="G30" s="639">
        <f t="shared" si="1"/>
        <v>0</v>
      </c>
      <c r="H30" s="640">
        <f>G30*$E$2</f>
        <v>0</v>
      </c>
      <c r="I30" s="639">
        <v>0</v>
      </c>
      <c r="J30" s="662">
        <v>0</v>
      </c>
      <c r="K30" s="662">
        <f t="shared" si="2"/>
        <v>0</v>
      </c>
      <c r="L30" s="662">
        <f t="shared" si="7"/>
        <v>0</v>
      </c>
      <c r="M30" s="664">
        <f t="shared" si="5"/>
        <v>0</v>
      </c>
      <c r="N30" s="664"/>
      <c r="O30" s="664"/>
      <c r="P30" s="663"/>
      <c r="Q30" s="663"/>
    </row>
    <row r="31" spans="1:17" s="103" customFormat="1" ht="29.4" customHeight="1" thickBot="1">
      <c r="A31" s="522">
        <v>24</v>
      </c>
      <c r="B31" s="161" t="str">
        <f>'Obiekty publiczne'!C28</f>
        <v>Miejska Biblioteka Publiczna w Wiechlicach</v>
      </c>
      <c r="C31" s="160" t="str">
        <f>'Obiekty publiczne'!E28</f>
        <v>gaz</v>
      </c>
      <c r="D31" s="524">
        <f>'Obiekty publiczne'!F28</f>
        <v>76.466999999999999</v>
      </c>
      <c r="E31" s="638">
        <v>0</v>
      </c>
      <c r="F31" s="639">
        <f t="shared" si="0"/>
        <v>76.466999999999999</v>
      </c>
      <c r="G31" s="639">
        <f t="shared" si="1"/>
        <v>0</v>
      </c>
      <c r="H31" s="640">
        <f t="shared" ref="H31:H36" si="9">G31*$E$4</f>
        <v>0</v>
      </c>
      <c r="I31" s="639">
        <v>0</v>
      </c>
      <c r="J31" s="662">
        <v>0</v>
      </c>
      <c r="K31" s="662">
        <f t="shared" si="2"/>
        <v>0</v>
      </c>
      <c r="L31" s="662">
        <f t="shared" si="7"/>
        <v>0</v>
      </c>
      <c r="M31" s="664">
        <f t="shared" si="5"/>
        <v>0</v>
      </c>
      <c r="N31" s="664"/>
      <c r="O31" s="664"/>
      <c r="P31" s="663"/>
      <c r="Q31" s="663"/>
    </row>
    <row r="32" spans="1:17" s="103" customFormat="1" ht="14.7" thickBot="1">
      <c r="A32" s="522">
        <v>25</v>
      </c>
      <c r="B32" s="161" t="str">
        <f>'Obiekty publiczne'!C29</f>
        <v>Miejska biblioteka Publiczna w Lesznie Górnym</v>
      </c>
      <c r="C32" s="160" t="str">
        <f>'Obiekty publiczne'!E29</f>
        <v>węgiel</v>
      </c>
      <c r="D32" s="524">
        <f>'Obiekty publiczne'!F29</f>
        <v>24</v>
      </c>
      <c r="E32" s="638">
        <v>0</v>
      </c>
      <c r="F32" s="639">
        <f t="shared" si="0"/>
        <v>24</v>
      </c>
      <c r="G32" s="639">
        <f t="shared" si="1"/>
        <v>0</v>
      </c>
      <c r="H32" s="640">
        <f>G32*$E$5</f>
        <v>0</v>
      </c>
      <c r="I32" s="639">
        <v>0</v>
      </c>
      <c r="J32" s="662">
        <v>0</v>
      </c>
      <c r="K32" s="662">
        <f t="shared" si="2"/>
        <v>0</v>
      </c>
      <c r="L32" s="662">
        <f t="shared" si="7"/>
        <v>0</v>
      </c>
      <c r="M32" s="664">
        <f t="shared" si="5"/>
        <v>0</v>
      </c>
      <c r="N32" s="664"/>
      <c r="O32" s="664"/>
      <c r="P32" s="663"/>
      <c r="Q32" s="663"/>
    </row>
    <row r="33" spans="1:17" s="103" customFormat="1" ht="14.7" thickBot="1">
      <c r="A33" s="522">
        <v>26</v>
      </c>
      <c r="B33" s="161" t="str">
        <f>'Obiekty publiczne'!C30</f>
        <v>Szprotawski Dom Kultury</v>
      </c>
      <c r="C33" s="160" t="str">
        <f>'Obiekty publiczne'!E30</f>
        <v>gaz</v>
      </c>
      <c r="D33" s="524">
        <f>'Obiekty publiczne'!F30</f>
        <v>1194.078</v>
      </c>
      <c r="E33" s="638">
        <v>0</v>
      </c>
      <c r="F33" s="639">
        <f t="shared" si="0"/>
        <v>1194.078</v>
      </c>
      <c r="G33" s="639">
        <f t="shared" si="1"/>
        <v>0</v>
      </c>
      <c r="H33" s="640">
        <f t="shared" si="9"/>
        <v>0</v>
      </c>
      <c r="I33" s="639">
        <v>0</v>
      </c>
      <c r="J33" s="662">
        <v>0</v>
      </c>
      <c r="K33" s="662">
        <f t="shared" si="2"/>
        <v>0</v>
      </c>
      <c r="L33" s="662">
        <f t="shared" si="7"/>
        <v>0</v>
      </c>
      <c r="M33" s="664">
        <f t="shared" si="5"/>
        <v>0</v>
      </c>
      <c r="N33" s="664"/>
      <c r="O33" s="664"/>
      <c r="P33" s="663"/>
      <c r="Q33" s="663"/>
    </row>
    <row r="34" spans="1:17" s="103" customFormat="1" ht="14.7" thickBot="1">
      <c r="A34" s="522">
        <v>27</v>
      </c>
      <c r="B34" s="161" t="str">
        <f>'Obiekty publiczne'!C31</f>
        <v>Nowy Szpital w Szprotawie</v>
      </c>
      <c r="C34" s="160" t="str">
        <f>'Obiekty publiczne'!E31</f>
        <v>gaz</v>
      </c>
      <c r="D34" s="524">
        <f>'Obiekty publiczne'!F31</f>
        <v>29487.648999999998</v>
      </c>
      <c r="E34" s="638">
        <v>0</v>
      </c>
      <c r="F34" s="639">
        <f t="shared" si="0"/>
        <v>29487.648999999998</v>
      </c>
      <c r="G34" s="639">
        <f t="shared" si="1"/>
        <v>0</v>
      </c>
      <c r="H34" s="640">
        <f t="shared" si="9"/>
        <v>0</v>
      </c>
      <c r="I34" s="639">
        <v>0</v>
      </c>
      <c r="J34" s="662">
        <v>0</v>
      </c>
      <c r="K34" s="662">
        <f t="shared" si="2"/>
        <v>0</v>
      </c>
      <c r="L34" s="662">
        <f t="shared" si="7"/>
        <v>0</v>
      </c>
      <c r="M34" s="664">
        <f t="shared" si="5"/>
        <v>0</v>
      </c>
      <c r="N34" s="664"/>
      <c r="O34" s="664"/>
      <c r="P34" s="663"/>
      <c r="Q34" s="663"/>
    </row>
    <row r="35" spans="1:17" s="983" customFormat="1" ht="25.8" customHeight="1" thickBot="1">
      <c r="A35" s="548" t="s">
        <v>591</v>
      </c>
      <c r="B35" s="517" t="str">
        <f>'Obiekty publiczne'!C32</f>
        <v>Przedszkole komunalne nr 3 pod Dębami w Szprotawie</v>
      </c>
      <c r="C35" s="160" t="str">
        <f>'Obiekty publiczne'!E32</f>
        <v>gaz</v>
      </c>
      <c r="D35" s="524">
        <f>'Obiekty publiczne'!F32</f>
        <v>149.1</v>
      </c>
      <c r="E35" s="984">
        <v>0</v>
      </c>
      <c r="F35" s="985">
        <f t="shared" si="0"/>
        <v>149.1</v>
      </c>
      <c r="G35" s="985">
        <f t="shared" si="1"/>
        <v>0</v>
      </c>
      <c r="H35" s="991">
        <f t="shared" si="9"/>
        <v>0</v>
      </c>
      <c r="I35" s="985">
        <v>0</v>
      </c>
      <c r="J35" s="986">
        <v>0</v>
      </c>
      <c r="K35" s="986">
        <f t="shared" si="2"/>
        <v>0</v>
      </c>
      <c r="L35" s="986">
        <f t="shared" si="7"/>
        <v>0</v>
      </c>
      <c r="M35" s="987">
        <f t="shared" si="5"/>
        <v>0</v>
      </c>
      <c r="N35" s="987"/>
      <c r="O35" s="987"/>
      <c r="P35" s="988"/>
      <c r="Q35" s="988"/>
    </row>
    <row r="36" spans="1:17" s="103" customFormat="1" ht="29.1" thickBot="1">
      <c r="A36" s="522">
        <v>29</v>
      </c>
      <c r="B36" s="161" t="str">
        <f>'Obiekty publiczne'!C33</f>
        <v>Zespół Szkół Centrum Kształcenia Rolniczego w Henrykowie</v>
      </c>
      <c r="C36" s="160" t="str">
        <f>'Obiekty publiczne'!E33</f>
        <v>gaz</v>
      </c>
      <c r="D36" s="524">
        <f>'Obiekty publiczne'!F33</f>
        <v>757.42799999999988</v>
      </c>
      <c r="E36" s="638">
        <v>0</v>
      </c>
      <c r="F36" s="639">
        <f t="shared" si="0"/>
        <v>757.42799999999988</v>
      </c>
      <c r="G36" s="639">
        <f t="shared" si="1"/>
        <v>0</v>
      </c>
      <c r="H36" s="640">
        <f t="shared" si="9"/>
        <v>0</v>
      </c>
      <c r="I36" s="639">
        <v>0</v>
      </c>
      <c r="J36" s="662">
        <v>0</v>
      </c>
      <c r="K36" s="662">
        <f t="shared" ref="K36:K45" si="10">J36</f>
        <v>0</v>
      </c>
      <c r="L36" s="662">
        <f t="shared" ref="L36:L45" si="11">K36*$E$3</f>
        <v>0</v>
      </c>
      <c r="M36" s="664">
        <f t="shared" ref="M36:M45" si="12">J36*6000</f>
        <v>0</v>
      </c>
      <c r="N36" s="665"/>
      <c r="O36" s="665"/>
      <c r="P36" s="666"/>
      <c r="Q36" s="666"/>
    </row>
    <row r="37" spans="1:17" s="103" customFormat="1" ht="14.7" thickBot="1">
      <c r="A37" s="522">
        <v>30</v>
      </c>
      <c r="B37" s="161" t="str">
        <f>'Obiekty publiczne'!C34</f>
        <v>Świetlica w Pasterzowicach</v>
      </c>
      <c r="C37" s="160" t="str">
        <f>'Obiekty publiczne'!E34</f>
        <v>węgiel</v>
      </c>
      <c r="D37" s="524">
        <f>'Obiekty publiczne'!F34</f>
        <v>36</v>
      </c>
      <c r="E37" s="638">
        <v>0</v>
      </c>
      <c r="F37" s="639">
        <f t="shared" si="0"/>
        <v>36</v>
      </c>
      <c r="G37" s="639">
        <f t="shared" si="1"/>
        <v>0</v>
      </c>
      <c r="H37" s="640">
        <f>G37*$E$5</f>
        <v>0</v>
      </c>
      <c r="I37" s="639">
        <v>0</v>
      </c>
      <c r="J37" s="662">
        <v>0</v>
      </c>
      <c r="K37" s="662">
        <f t="shared" si="10"/>
        <v>0</v>
      </c>
      <c r="L37" s="662">
        <f t="shared" si="11"/>
        <v>0</v>
      </c>
      <c r="M37" s="664">
        <f t="shared" si="12"/>
        <v>0</v>
      </c>
      <c r="N37" s="665"/>
      <c r="O37" s="665"/>
      <c r="P37" s="666"/>
      <c r="Q37" s="666"/>
    </row>
    <row r="38" spans="1:17" s="103" customFormat="1" ht="14.7" thickBot="1">
      <c r="A38" s="522">
        <v>31</v>
      </c>
      <c r="B38" s="161" t="str">
        <f>'Obiekty publiczne'!C35</f>
        <v>Sala Wiejska w Dzikowicach</v>
      </c>
      <c r="C38" s="160" t="str">
        <f>'Obiekty publiczne'!E35</f>
        <v>węgiel</v>
      </c>
      <c r="D38" s="524">
        <f>'Obiekty publiczne'!F35</f>
        <v>31.200000000000003</v>
      </c>
      <c r="E38" s="638">
        <v>0</v>
      </c>
      <c r="F38" s="639">
        <f t="shared" si="0"/>
        <v>31.200000000000003</v>
      </c>
      <c r="G38" s="639">
        <f t="shared" si="1"/>
        <v>0</v>
      </c>
      <c r="H38" s="640">
        <f t="shared" ref="H38:H46" si="13">G38*$E$5</f>
        <v>0</v>
      </c>
      <c r="I38" s="639">
        <v>0</v>
      </c>
      <c r="J38" s="662">
        <v>0</v>
      </c>
      <c r="K38" s="662">
        <f t="shared" si="10"/>
        <v>0</v>
      </c>
      <c r="L38" s="662">
        <f t="shared" si="11"/>
        <v>0</v>
      </c>
      <c r="M38" s="664">
        <f t="shared" si="12"/>
        <v>0</v>
      </c>
      <c r="N38" s="665"/>
      <c r="O38" s="665"/>
      <c r="P38" s="666"/>
      <c r="Q38" s="666"/>
    </row>
    <row r="39" spans="1:17" s="103" customFormat="1" ht="14.7" thickBot="1">
      <c r="A39" s="522">
        <v>32</v>
      </c>
      <c r="B39" s="161" t="str">
        <f>'Obiekty publiczne'!C36</f>
        <v>Sala Wiejska w Witkowicach</v>
      </c>
      <c r="C39" s="160" t="str">
        <f>'Obiekty publiczne'!E36</f>
        <v>węgiel</v>
      </c>
      <c r="D39" s="524">
        <f>'Obiekty publiczne'!F36</f>
        <v>21.6</v>
      </c>
      <c r="E39" s="638">
        <v>0</v>
      </c>
      <c r="F39" s="639">
        <f t="shared" si="0"/>
        <v>21.6</v>
      </c>
      <c r="G39" s="639">
        <f t="shared" si="1"/>
        <v>0</v>
      </c>
      <c r="H39" s="640">
        <f t="shared" si="13"/>
        <v>0</v>
      </c>
      <c r="I39" s="639">
        <v>0</v>
      </c>
      <c r="J39" s="662">
        <v>0</v>
      </c>
      <c r="K39" s="662">
        <f t="shared" si="10"/>
        <v>0</v>
      </c>
      <c r="L39" s="662">
        <f t="shared" si="11"/>
        <v>0</v>
      </c>
      <c r="M39" s="664">
        <f t="shared" si="12"/>
        <v>0</v>
      </c>
      <c r="N39" s="665"/>
      <c r="O39" s="665"/>
      <c r="P39" s="666"/>
      <c r="Q39" s="666"/>
    </row>
    <row r="40" spans="1:17" s="103" customFormat="1" ht="14.7" thickBot="1">
      <c r="A40" s="522">
        <v>33</v>
      </c>
      <c r="B40" s="161" t="str">
        <f>'Obiekty publiczne'!C37</f>
        <v>OSP w Witkowicach</v>
      </c>
      <c r="C40" s="160" t="str">
        <f>'Obiekty publiczne'!E37</f>
        <v>węgiel</v>
      </c>
      <c r="D40" s="524">
        <f>'Obiekty publiczne'!F37</f>
        <v>50.400000000000006</v>
      </c>
      <c r="E40" s="638">
        <v>0</v>
      </c>
      <c r="F40" s="639">
        <f t="shared" si="0"/>
        <v>50.400000000000006</v>
      </c>
      <c r="G40" s="639">
        <f t="shared" si="1"/>
        <v>0</v>
      </c>
      <c r="H40" s="640">
        <f t="shared" si="13"/>
        <v>0</v>
      </c>
      <c r="I40" s="639">
        <v>0</v>
      </c>
      <c r="J40" s="662">
        <v>0</v>
      </c>
      <c r="K40" s="662">
        <f t="shared" si="10"/>
        <v>0</v>
      </c>
      <c r="L40" s="662">
        <f t="shared" si="11"/>
        <v>0</v>
      </c>
      <c r="M40" s="664">
        <f t="shared" si="12"/>
        <v>0</v>
      </c>
      <c r="N40" s="665"/>
      <c r="O40" s="665"/>
      <c r="P40" s="666"/>
      <c r="Q40" s="666"/>
    </row>
    <row r="41" spans="1:17" s="103" customFormat="1" ht="14.7" thickBot="1">
      <c r="A41" s="522">
        <v>34</v>
      </c>
      <c r="B41" s="161" t="str">
        <f>'Obiekty publiczne'!C38</f>
        <v>Świetlica wiejska w Dziećmiarowicach</v>
      </c>
      <c r="C41" s="160" t="str">
        <f>'Obiekty publiczne'!E38</f>
        <v>węgiel</v>
      </c>
      <c r="D41" s="524">
        <f>'Obiekty publiczne'!F38</f>
        <v>43.2</v>
      </c>
      <c r="E41" s="638">
        <v>0</v>
      </c>
      <c r="F41" s="639">
        <f t="shared" si="0"/>
        <v>43.2</v>
      </c>
      <c r="G41" s="639">
        <f t="shared" si="1"/>
        <v>0</v>
      </c>
      <c r="H41" s="640">
        <f t="shared" si="13"/>
        <v>0</v>
      </c>
      <c r="I41" s="641">
        <v>0</v>
      </c>
      <c r="J41" s="662">
        <v>0</v>
      </c>
      <c r="K41" s="662">
        <f t="shared" si="10"/>
        <v>0</v>
      </c>
      <c r="L41" s="662">
        <f t="shared" si="11"/>
        <v>0</v>
      </c>
      <c r="M41" s="664">
        <f t="shared" si="12"/>
        <v>0</v>
      </c>
      <c r="N41" s="665"/>
      <c r="O41" s="665"/>
      <c r="P41" s="666"/>
      <c r="Q41" s="666"/>
    </row>
    <row r="42" spans="1:17" s="103" customFormat="1" ht="14.7" thickBot="1">
      <c r="A42" s="522">
        <v>35</v>
      </c>
      <c r="B42" s="161" t="str">
        <f>'Obiekty publiczne'!C39</f>
        <v>Świetlica wiejska w Borowinie</v>
      </c>
      <c r="C42" s="160" t="str">
        <f>'Obiekty publiczne'!E39</f>
        <v>węgiel</v>
      </c>
      <c r="D42" s="524">
        <f>'Obiekty publiczne'!F39</f>
        <v>14.399999999999999</v>
      </c>
      <c r="E42" s="638">
        <v>0</v>
      </c>
      <c r="F42" s="639">
        <f t="shared" si="0"/>
        <v>14.399999999999999</v>
      </c>
      <c r="G42" s="639">
        <f t="shared" si="1"/>
        <v>0</v>
      </c>
      <c r="H42" s="640">
        <f t="shared" si="13"/>
        <v>0</v>
      </c>
      <c r="I42" s="641">
        <v>0</v>
      </c>
      <c r="J42" s="662">
        <v>0</v>
      </c>
      <c r="K42" s="662">
        <f t="shared" si="10"/>
        <v>0</v>
      </c>
      <c r="L42" s="662">
        <f t="shared" si="11"/>
        <v>0</v>
      </c>
      <c r="M42" s="664">
        <f t="shared" si="12"/>
        <v>0</v>
      </c>
      <c r="N42" s="665"/>
      <c r="O42" s="665"/>
      <c r="P42" s="666"/>
      <c r="Q42" s="666"/>
    </row>
    <row r="43" spans="1:17" s="103" customFormat="1" ht="14.7" thickBot="1">
      <c r="A43" s="522">
        <v>36</v>
      </c>
      <c r="B43" s="161" t="str">
        <f>'Obiekty publiczne'!C40</f>
        <v>OSP w Borowinie</v>
      </c>
      <c r="C43" s="160" t="str">
        <f>'Obiekty publiczne'!E40</f>
        <v>węgiel</v>
      </c>
      <c r="D43" s="524">
        <f>'Obiekty publiczne'!F40</f>
        <v>28.799999999999997</v>
      </c>
      <c r="E43" s="638">
        <v>0</v>
      </c>
      <c r="F43" s="639">
        <f t="shared" si="0"/>
        <v>28.799999999999997</v>
      </c>
      <c r="G43" s="639">
        <f t="shared" si="1"/>
        <v>0</v>
      </c>
      <c r="H43" s="640">
        <f t="shared" si="13"/>
        <v>0</v>
      </c>
      <c r="I43" s="641">
        <v>0</v>
      </c>
      <c r="J43" s="662">
        <v>0</v>
      </c>
      <c r="K43" s="662">
        <f t="shared" si="10"/>
        <v>0</v>
      </c>
      <c r="L43" s="662">
        <f t="shared" si="11"/>
        <v>0</v>
      </c>
      <c r="M43" s="664">
        <f t="shared" si="12"/>
        <v>0</v>
      </c>
      <c r="N43" s="665"/>
      <c r="O43" s="665"/>
      <c r="P43" s="666"/>
      <c r="Q43" s="666"/>
    </row>
    <row r="44" spans="1:17" s="103" customFormat="1" ht="14.7" thickBot="1">
      <c r="A44" s="522">
        <v>37</v>
      </c>
      <c r="B44" s="161" t="str">
        <f>'Obiekty publiczne'!C41</f>
        <v>Sala wiejska w Cieciszowie</v>
      </c>
      <c r="C44" s="160" t="str">
        <f>'Obiekty publiczne'!E41</f>
        <v>węgiel</v>
      </c>
      <c r="D44" s="524">
        <f>'Obiekty publiczne'!F41</f>
        <v>12</v>
      </c>
      <c r="E44" s="638">
        <v>0</v>
      </c>
      <c r="F44" s="639">
        <f t="shared" si="0"/>
        <v>12</v>
      </c>
      <c r="G44" s="639">
        <f t="shared" si="1"/>
        <v>0</v>
      </c>
      <c r="H44" s="640">
        <f t="shared" si="13"/>
        <v>0</v>
      </c>
      <c r="I44" s="641">
        <v>0</v>
      </c>
      <c r="J44" s="662">
        <v>0</v>
      </c>
      <c r="K44" s="662">
        <f t="shared" si="10"/>
        <v>0</v>
      </c>
      <c r="L44" s="662">
        <f t="shared" si="11"/>
        <v>0</v>
      </c>
      <c r="M44" s="664">
        <f t="shared" si="12"/>
        <v>0</v>
      </c>
      <c r="N44" s="665"/>
      <c r="O44" s="665"/>
      <c r="P44" s="666"/>
      <c r="Q44" s="666"/>
    </row>
    <row r="45" spans="1:17" s="103" customFormat="1" ht="14.7" thickBot="1">
      <c r="A45" s="522">
        <v>38</v>
      </c>
      <c r="B45" s="161" t="str">
        <f>'Obiekty publiczne'!C42</f>
        <v>Sala wiejska w Kartowicach</v>
      </c>
      <c r="C45" s="160" t="str">
        <f>'Obiekty publiczne'!E42</f>
        <v>węgiel</v>
      </c>
      <c r="D45" s="524">
        <f>'Obiekty publiczne'!F42</f>
        <v>12</v>
      </c>
      <c r="E45" s="661">
        <v>0</v>
      </c>
      <c r="F45" s="641">
        <f t="shared" si="0"/>
        <v>12</v>
      </c>
      <c r="G45" s="641">
        <f t="shared" si="1"/>
        <v>0</v>
      </c>
      <c r="H45" s="640">
        <f t="shared" si="13"/>
        <v>0</v>
      </c>
      <c r="I45" s="641">
        <v>0</v>
      </c>
      <c r="J45" s="667">
        <v>0</v>
      </c>
      <c r="K45" s="667">
        <f t="shared" si="10"/>
        <v>0</v>
      </c>
      <c r="L45" s="667">
        <f t="shared" si="11"/>
        <v>0</v>
      </c>
      <c r="M45" s="665">
        <f t="shared" si="12"/>
        <v>0</v>
      </c>
      <c r="N45" s="665"/>
      <c r="O45" s="665"/>
      <c r="P45" s="666"/>
      <c r="Q45" s="666"/>
    </row>
    <row r="46" spans="1:17" s="983" customFormat="1" ht="14.7" thickBot="1">
      <c r="A46" s="548">
        <v>39</v>
      </c>
      <c r="B46" s="517" t="str">
        <f>'Obiekty publiczne'!C43</f>
        <v>Wieża ciśnień - budynek zabytkowy w Szprotawie</v>
      </c>
      <c r="C46" s="160" t="str">
        <f>'Obiekty publiczne'!E43</f>
        <v>b/d</v>
      </c>
      <c r="D46" s="524" t="str">
        <f>'Obiekty publiczne'!F43</f>
        <v>b/d</v>
      </c>
      <c r="E46" s="989">
        <v>0</v>
      </c>
      <c r="F46" s="990">
        <v>0</v>
      </c>
      <c r="G46" s="990">
        <v>0</v>
      </c>
      <c r="H46" s="991">
        <f t="shared" si="13"/>
        <v>0</v>
      </c>
      <c r="I46" s="990">
        <v>0</v>
      </c>
      <c r="J46" s="992">
        <v>5.3</v>
      </c>
      <c r="K46" s="992">
        <f t="shared" ref="K46:K47" si="14">J46</f>
        <v>5.3</v>
      </c>
      <c r="L46" s="992">
        <f t="shared" ref="L46:L47" si="15">K46*$E$3</f>
        <v>4.7169999999999996</v>
      </c>
      <c r="M46" s="993">
        <v>36000</v>
      </c>
      <c r="N46" s="993"/>
      <c r="O46" s="993"/>
      <c r="P46" s="994"/>
      <c r="Q46" s="994" t="s">
        <v>438</v>
      </c>
    </row>
    <row r="47" spans="1:17" s="103" customFormat="1" ht="29.1" thickBot="1">
      <c r="A47" s="522">
        <v>40</v>
      </c>
      <c r="B47" s="161" t="str">
        <f>'Obiekty publiczne'!C44</f>
        <v xml:space="preserve"> Kościół Wniebowzięcia NMP w Szprotawie (Magdalenki)</v>
      </c>
      <c r="C47" s="160" t="str">
        <f>'Obiekty publiczne'!E44</f>
        <v>b/d</v>
      </c>
      <c r="D47" s="524" t="str">
        <f>'Obiekty publiczne'!F44</f>
        <v>b/d</v>
      </c>
      <c r="E47" s="661">
        <v>0</v>
      </c>
      <c r="F47" s="641">
        <v>0</v>
      </c>
      <c r="G47" s="641">
        <v>0</v>
      </c>
      <c r="H47" s="640">
        <v>0</v>
      </c>
      <c r="I47" s="641">
        <v>0</v>
      </c>
      <c r="J47" s="667">
        <v>0</v>
      </c>
      <c r="K47" s="667">
        <f t="shared" si="14"/>
        <v>0</v>
      </c>
      <c r="L47" s="667">
        <f t="shared" si="15"/>
        <v>0</v>
      </c>
      <c r="M47" s="665">
        <f t="shared" ref="M47" si="16">J47*6000</f>
        <v>0</v>
      </c>
      <c r="N47" s="665"/>
      <c r="O47" s="665"/>
      <c r="P47" s="666"/>
      <c r="Q47" s="666"/>
    </row>
    <row r="48" spans="1:17" ht="16.2" customHeight="1" thickBot="1">
      <c r="A48" s="933" t="s">
        <v>171</v>
      </c>
      <c r="B48" s="934"/>
      <c r="C48" s="935"/>
      <c r="D48" s="759">
        <f>SUM(D8:D45)</f>
        <v>49678.645999999993</v>
      </c>
      <c r="E48" s="553" t="s">
        <v>180</v>
      </c>
      <c r="F48" s="760">
        <f>SUM(F8:F45)</f>
        <v>44965.192999999992</v>
      </c>
      <c r="G48" s="761">
        <f t="shared" ref="G48:I48" si="17">SUM(G8:G45)</f>
        <v>4713.4529999999995</v>
      </c>
      <c r="H48" s="761">
        <f t="shared" si="17"/>
        <v>329.06709899999998</v>
      </c>
      <c r="I48" s="761">
        <f t="shared" si="17"/>
        <v>9844755.1600000001</v>
      </c>
      <c r="J48" s="554">
        <f>SUM(J8:J47)</f>
        <v>225.3</v>
      </c>
      <c r="K48" s="554">
        <f>SUM(K8:K47)</f>
        <v>225.3</v>
      </c>
      <c r="L48" s="554">
        <f>SUM(L8:L47)</f>
        <v>200.51700000000005</v>
      </c>
      <c r="M48" s="555">
        <f>SUM(M8:M47)</f>
        <v>1324006.5</v>
      </c>
      <c r="N48" s="556">
        <f>Prąd!J11</f>
        <v>44698.612000000001</v>
      </c>
      <c r="O48" s="556">
        <f>N48-K48</f>
        <v>44473.311999999998</v>
      </c>
      <c r="P48" s="184"/>
      <c r="Q48" s="184"/>
    </row>
    <row r="49" spans="1:15" ht="14.4" thickBot="1">
      <c r="D49" s="762">
        <f>D48/'Założenia 2 - Dane wejściowe'!K36</f>
        <v>13799.623888888887</v>
      </c>
      <c r="E49" s="187" t="s">
        <v>178</v>
      </c>
      <c r="F49" s="763">
        <f>F48/'Założenia 2 - Dane wejściowe'!K36</f>
        <v>12490.331388888886</v>
      </c>
      <c r="G49" s="763">
        <f>G48/'Założenia 2 - Dane wejściowe'!K36</f>
        <v>1309.2924999999998</v>
      </c>
      <c r="H49" s="764" t="s">
        <v>199</v>
      </c>
      <c r="I49" s="764" t="s">
        <v>200</v>
      </c>
      <c r="J49" s="186" t="s">
        <v>201</v>
      </c>
      <c r="K49" s="186" t="s">
        <v>178</v>
      </c>
      <c r="L49" s="186" t="s">
        <v>199</v>
      </c>
      <c r="M49" s="186" t="s">
        <v>200</v>
      </c>
      <c r="N49" s="186" t="s">
        <v>178</v>
      </c>
      <c r="O49" s="186" t="s">
        <v>178</v>
      </c>
    </row>
    <row r="50" spans="1:15">
      <c r="B50" t="s">
        <v>587</v>
      </c>
    </row>
    <row r="51" spans="1:15">
      <c r="B51" t="s">
        <v>588</v>
      </c>
    </row>
    <row r="52" spans="1:15">
      <c r="B52" t="s">
        <v>589</v>
      </c>
    </row>
    <row r="54" spans="1:15" ht="36.6" customHeight="1" thickBot="1">
      <c r="A54" s="195" t="s">
        <v>225</v>
      </c>
      <c r="B54" s="937" t="s">
        <v>600</v>
      </c>
      <c r="C54" s="937"/>
      <c r="D54" s="937"/>
      <c r="E54" s="937"/>
      <c r="F54" s="937"/>
      <c r="G54" s="937"/>
      <c r="H54" s="937"/>
    </row>
    <row r="55" spans="1:15" ht="57.9" thickBot="1">
      <c r="A55" s="625" t="s">
        <v>164</v>
      </c>
      <c r="B55" s="716" t="s">
        <v>653</v>
      </c>
      <c r="C55" s="626" t="s">
        <v>173</v>
      </c>
      <c r="D55" s="668" t="s">
        <v>601</v>
      </c>
      <c r="E55" s="628" t="s">
        <v>410</v>
      </c>
      <c r="F55" s="669" t="s">
        <v>602</v>
      </c>
      <c r="G55" s="670" t="s">
        <v>603</v>
      </c>
      <c r="H55" s="631" t="s">
        <v>226</v>
      </c>
    </row>
    <row r="56" spans="1:15" ht="216.3" thickBot="1">
      <c r="A56" s="161">
        <v>1</v>
      </c>
      <c r="B56" s="979" t="s">
        <v>664</v>
      </c>
      <c r="C56" s="174">
        <f>25000+15000+40000+500000+1000000</f>
        <v>1580000</v>
      </c>
      <c r="D56" s="174">
        <f>('Ciepło systemowe'!D16*5%)*30%</f>
        <v>474.92538413946585</v>
      </c>
      <c r="E56" s="174">
        <f>D56*E2</f>
        <v>44.642986109109792</v>
      </c>
      <c r="F56" s="174">
        <f>'Ciepło systemowe'!D16</f>
        <v>31661.692275964389</v>
      </c>
      <c r="G56" s="200">
        <f>F56-D56</f>
        <v>31186.766891824922</v>
      </c>
      <c r="H56" s="182" t="s">
        <v>618</v>
      </c>
    </row>
    <row r="57" spans="1:15" ht="14.7" thickBot="1">
      <c r="A57" s="161"/>
      <c r="B57" s="162"/>
      <c r="C57" s="174"/>
      <c r="D57" s="174"/>
      <c r="E57" s="174"/>
      <c r="F57" s="174"/>
      <c r="G57" s="200"/>
      <c r="H57" s="182"/>
    </row>
    <row r="58" spans="1:15" ht="15.9" thickBot="1">
      <c r="A58" s="922" t="s">
        <v>171</v>
      </c>
      <c r="B58" s="923"/>
      <c r="C58" s="191">
        <f>SUM(C56:C57)</f>
        <v>1580000</v>
      </c>
      <c r="D58" s="190">
        <f>SUM(D56:D57)</f>
        <v>474.92538413946585</v>
      </c>
      <c r="E58" s="190">
        <f>SUM(E56:E57)</f>
        <v>44.642986109109792</v>
      </c>
      <c r="F58" s="674">
        <f>SUM(F56:F57)</f>
        <v>31661.692275964389</v>
      </c>
      <c r="G58" s="201">
        <f>SUM(G56:G57)</f>
        <v>31186.766891824922</v>
      </c>
      <c r="H58" s="202"/>
    </row>
    <row r="59" spans="1:15" ht="15.9" thickBot="1">
      <c r="A59" s="205"/>
      <c r="B59" s="205"/>
      <c r="C59" s="483"/>
      <c r="D59" s="673">
        <f>D58/'Założenia 2 - Dane wejściowe'!$K36</f>
        <v>131.92371781651829</v>
      </c>
      <c r="E59" s="671" t="s">
        <v>178</v>
      </c>
      <c r="F59" s="673">
        <f>F58/'Założenia 2 - Dane wejściowe'!$K36</f>
        <v>8794.9145211012183</v>
      </c>
      <c r="G59" s="672">
        <f>G58/'Założenia 2 - Dane wejściowe'!$K36</f>
        <v>8662.9908032846997</v>
      </c>
      <c r="H59" s="671" t="s">
        <v>178</v>
      </c>
    </row>
    <row r="60" spans="1:15" ht="93.6" customHeight="1">
      <c r="B60" s="938" t="s">
        <v>604</v>
      </c>
      <c r="C60" s="938"/>
      <c r="D60" s="938"/>
      <c r="E60" s="938"/>
      <c r="F60" s="938"/>
      <c r="G60" s="938"/>
      <c r="H60" s="938"/>
    </row>
    <row r="61" spans="1:15" ht="31.8" customHeight="1">
      <c r="B61" s="558"/>
      <c r="C61" s="558"/>
      <c r="D61" s="558"/>
      <c r="E61" s="558"/>
      <c r="F61" s="558"/>
      <c r="G61" s="558"/>
      <c r="H61" s="558"/>
    </row>
    <row r="62" spans="1:15" ht="31.8" customHeight="1" thickBot="1">
      <c r="A62" s="195" t="s">
        <v>231</v>
      </c>
      <c r="B62" s="592" t="s">
        <v>208</v>
      </c>
      <c r="C62" s="196"/>
    </row>
    <row r="63" spans="1:15" ht="60" customHeight="1" thickBot="1">
      <c r="A63" s="625" t="s">
        <v>164</v>
      </c>
      <c r="B63" s="626" t="s">
        <v>223</v>
      </c>
      <c r="C63" s="626" t="s">
        <v>173</v>
      </c>
      <c r="D63" s="627" t="s">
        <v>166</v>
      </c>
      <c r="E63" s="628" t="s">
        <v>410</v>
      </c>
      <c r="F63" s="629" t="s">
        <v>229</v>
      </c>
      <c r="G63" s="630" t="s">
        <v>228</v>
      </c>
      <c r="H63" s="631" t="s">
        <v>226</v>
      </c>
    </row>
    <row r="64" spans="1:15" ht="31.8" customHeight="1" thickBot="1">
      <c r="A64" s="161">
        <v>1</v>
      </c>
      <c r="B64" s="162" t="s">
        <v>208</v>
      </c>
      <c r="C64" s="174" t="s">
        <v>172</v>
      </c>
      <c r="D64" s="174">
        <v>0</v>
      </c>
      <c r="E64" s="174">
        <v>0</v>
      </c>
      <c r="F64" s="174">
        <f>Prąd!J4</f>
        <v>0</v>
      </c>
      <c r="G64" s="200">
        <v>0</v>
      </c>
      <c r="H64" s="182" t="s">
        <v>227</v>
      </c>
    </row>
    <row r="65" spans="1:10" ht="31.8" customHeight="1" thickBot="1">
      <c r="A65" s="161"/>
      <c r="B65" s="162"/>
      <c r="C65" s="174"/>
      <c r="D65" s="174"/>
      <c r="E65" s="174"/>
      <c r="F65" s="174"/>
      <c r="G65" s="200"/>
      <c r="H65" s="182"/>
    </row>
    <row r="66" spans="1:10" ht="31.8" customHeight="1" thickBot="1">
      <c r="A66" s="922" t="s">
        <v>171</v>
      </c>
      <c r="B66" s="923"/>
      <c r="C66" s="191">
        <f>SUM(C64:C65)</f>
        <v>0</v>
      </c>
      <c r="D66" s="190">
        <f>SUM(D64:D65)</f>
        <v>0</v>
      </c>
      <c r="E66" s="190">
        <f>SUM(E64:E65)</f>
        <v>0</v>
      </c>
      <c r="F66" s="199">
        <f>SUM(F64:F65)</f>
        <v>0</v>
      </c>
      <c r="G66" s="201">
        <v>0</v>
      </c>
      <c r="H66" s="202"/>
    </row>
    <row r="67" spans="1:10" ht="31.8" customHeight="1">
      <c r="B67" t="s">
        <v>412</v>
      </c>
      <c r="F67" s="142"/>
    </row>
    <row r="69" spans="1:10" ht="39" customHeight="1" thickBot="1">
      <c r="A69" s="195" t="s">
        <v>232</v>
      </c>
      <c r="B69" s="937" t="s">
        <v>610</v>
      </c>
      <c r="C69" s="937"/>
      <c r="D69" s="937"/>
      <c r="E69" s="937"/>
      <c r="F69" s="937"/>
      <c r="G69" s="937"/>
      <c r="H69" s="937"/>
    </row>
    <row r="70" spans="1:10" ht="57.9" thickBot="1">
      <c r="A70" s="625" t="s">
        <v>164</v>
      </c>
      <c r="B70" s="626" t="s">
        <v>223</v>
      </c>
      <c r="C70" s="626" t="s">
        <v>173</v>
      </c>
      <c r="D70" s="668" t="s">
        <v>611</v>
      </c>
      <c r="E70" s="628" t="s">
        <v>410</v>
      </c>
      <c r="F70" s="669" t="s">
        <v>612</v>
      </c>
      <c r="G70" s="670" t="s">
        <v>613</v>
      </c>
      <c r="H70" s="631" t="s">
        <v>226</v>
      </c>
    </row>
    <row r="71" spans="1:10" ht="29.1" thickBot="1">
      <c r="A71" s="161">
        <v>1</v>
      </c>
      <c r="B71" s="162" t="s">
        <v>605</v>
      </c>
      <c r="C71" s="174">
        <v>150000</v>
      </c>
      <c r="D71" s="174">
        <f>('Założenia 2 - Dane wejściowe'!D140+'Założenia 2 - Dane wejściowe'!D150)*60%</f>
        <v>64.787999999999997</v>
      </c>
      <c r="E71" s="174">
        <f>D71*0.89</f>
        <v>57.661319999999996</v>
      </c>
      <c r="F71" s="174"/>
      <c r="G71" s="200"/>
      <c r="H71" s="182" t="s">
        <v>450</v>
      </c>
    </row>
    <row r="72" spans="1:10" ht="29.1" thickBot="1">
      <c r="A72" s="161">
        <v>2</v>
      </c>
      <c r="B72" s="162" t="s">
        <v>606</v>
      </c>
      <c r="C72" s="174">
        <v>150000</v>
      </c>
      <c r="D72" s="174">
        <f>('Założenia 2 - Dane wejściowe'!D147+'Założenia 2 - Dane wejściowe'!D148+'Założenia 2 - Dane wejściowe'!D149)*60%</f>
        <v>1.7550000000000001</v>
      </c>
      <c r="E72" s="174">
        <f t="shared" ref="E72" si="18">D72*0.89</f>
        <v>1.5619500000000002</v>
      </c>
      <c r="F72" s="174"/>
      <c r="G72" s="200"/>
      <c r="H72" s="182" t="str">
        <f>H71</f>
        <v>2015-2018</v>
      </c>
    </row>
    <row r="73" spans="1:10" ht="29.1" thickBot="1">
      <c r="A73" s="161">
        <v>3</v>
      </c>
      <c r="B73" s="162" t="s">
        <v>608</v>
      </c>
      <c r="C73" s="174">
        <v>20000</v>
      </c>
      <c r="D73" s="174">
        <v>0</v>
      </c>
      <c r="E73" s="174">
        <v>0</v>
      </c>
      <c r="F73" s="174"/>
      <c r="G73" s="200"/>
      <c r="H73" s="182" t="str">
        <f t="shared" ref="H73:H74" si="19">H72</f>
        <v>2015-2018</v>
      </c>
    </row>
    <row r="74" spans="1:10" ht="43.5" thickBot="1">
      <c r="A74" s="161">
        <v>4</v>
      </c>
      <c r="B74" s="162" t="s">
        <v>607</v>
      </c>
      <c r="C74" s="174">
        <v>35000</v>
      </c>
      <c r="D74" s="174">
        <v>0</v>
      </c>
      <c r="E74" s="174">
        <v>0</v>
      </c>
      <c r="F74" s="174"/>
      <c r="G74" s="200"/>
      <c r="H74" s="182" t="str">
        <f t="shared" si="19"/>
        <v>2015-2018</v>
      </c>
    </row>
    <row r="75" spans="1:10" ht="16.2" customHeight="1" thickBot="1">
      <c r="A75" s="922" t="s">
        <v>171</v>
      </c>
      <c r="B75" s="923"/>
      <c r="C75" s="191">
        <f>SUM(C71:C74)</f>
        <v>355000</v>
      </c>
      <c r="D75" s="190">
        <f>SUM(D71:D74)</f>
        <v>66.542999999999992</v>
      </c>
      <c r="E75" s="190">
        <f>SUM(E71:E74)</f>
        <v>59.223269999999999</v>
      </c>
      <c r="F75" s="199">
        <f>'Obiekty publiczne'!D45</f>
        <v>852.2</v>
      </c>
      <c r="G75" s="201">
        <f>F75-D75</f>
        <v>785.65700000000004</v>
      </c>
      <c r="H75" s="202"/>
    </row>
    <row r="76" spans="1:10" ht="28.2" customHeight="1">
      <c r="B76" s="939" t="s">
        <v>609</v>
      </c>
      <c r="C76" s="939"/>
      <c r="D76" s="939"/>
      <c r="E76" s="939"/>
      <c r="F76" s="939"/>
      <c r="G76" s="939"/>
      <c r="H76" s="939"/>
    </row>
    <row r="79" spans="1:10">
      <c r="A79" s="483"/>
      <c r="B79" s="483"/>
      <c r="C79" s="483"/>
      <c r="D79" s="526"/>
      <c r="E79" s="483"/>
      <c r="F79" s="483"/>
      <c r="G79" s="483"/>
      <c r="H79" s="483"/>
      <c r="I79" s="483"/>
      <c r="J79" s="483"/>
    </row>
    <row r="80" spans="1:10">
      <c r="A80" s="483"/>
      <c r="B80" s="483"/>
      <c r="C80" s="483"/>
      <c r="D80" s="526"/>
      <c r="E80" s="483"/>
      <c r="F80" s="483"/>
      <c r="G80" s="483"/>
      <c r="H80" s="483"/>
      <c r="I80" s="483"/>
      <c r="J80" s="483"/>
    </row>
    <row r="81" spans="1:10">
      <c r="A81" s="483"/>
      <c r="B81" s="483"/>
      <c r="C81" s="483"/>
      <c r="D81" s="526"/>
      <c r="E81" s="483"/>
      <c r="F81" s="483"/>
      <c r="G81" s="483"/>
      <c r="H81" s="483"/>
      <c r="I81" s="483"/>
      <c r="J81" s="483"/>
    </row>
    <row r="82" spans="1:10">
      <c r="A82" s="483"/>
      <c r="B82" s="483"/>
      <c r="C82" s="483"/>
      <c r="D82" s="526"/>
      <c r="E82" s="483"/>
      <c r="F82" s="483"/>
      <c r="G82" s="483"/>
      <c r="H82" s="483"/>
      <c r="I82" s="483"/>
      <c r="J82" s="483"/>
    </row>
    <row r="85" spans="1:10" ht="35.4" customHeight="1" thickBot="1">
      <c r="A85" s="194" t="s">
        <v>233</v>
      </c>
      <c r="B85" s="936" t="s">
        <v>597</v>
      </c>
      <c r="C85" s="936"/>
      <c r="D85" s="936"/>
      <c r="E85" s="936"/>
      <c r="F85" s="936"/>
      <c r="G85" s="936"/>
      <c r="H85" s="936"/>
    </row>
    <row r="86" spans="1:10" ht="57.9" thickBot="1">
      <c r="A86" s="625" t="s">
        <v>164</v>
      </c>
      <c r="B86" s="626" t="s">
        <v>223</v>
      </c>
      <c r="C86" s="626" t="s">
        <v>173</v>
      </c>
      <c r="D86" s="627" t="s">
        <v>166</v>
      </c>
      <c r="E86" s="628" t="s">
        <v>410</v>
      </c>
      <c r="F86" s="629" t="s">
        <v>229</v>
      </c>
      <c r="G86" s="630" t="s">
        <v>228</v>
      </c>
      <c r="H86" s="631" t="s">
        <v>226</v>
      </c>
    </row>
    <row r="87" spans="1:10" ht="14.7" thickBot="1">
      <c r="A87" s="161">
        <v>1</v>
      </c>
      <c r="B87" s="162" t="s">
        <v>598</v>
      </c>
      <c r="C87" s="174">
        <v>372700</v>
      </c>
      <c r="D87" s="174" t="s">
        <v>172</v>
      </c>
      <c r="E87" s="174">
        <v>0</v>
      </c>
      <c r="F87" s="174" t="s">
        <v>172</v>
      </c>
      <c r="G87" s="200" t="s">
        <v>172</v>
      </c>
      <c r="H87" s="182" t="s">
        <v>599</v>
      </c>
    </row>
    <row r="88" spans="1:10" ht="14.7" thickBot="1">
      <c r="A88" s="161"/>
      <c r="B88" s="162"/>
      <c r="C88" s="174"/>
      <c r="D88" s="174"/>
      <c r="E88" s="174"/>
      <c r="F88" s="174" t="s">
        <v>172</v>
      </c>
      <c r="G88" s="200"/>
      <c r="H88" s="182"/>
    </row>
    <row r="89" spans="1:10" ht="15.9" thickBot="1">
      <c r="A89" s="922" t="s">
        <v>171</v>
      </c>
      <c r="B89" s="923"/>
      <c r="C89" s="191">
        <f>SUM(C87:C88)</f>
        <v>372700</v>
      </c>
      <c r="D89" s="190">
        <f>SUM(D87:D88)</f>
        <v>0</v>
      </c>
      <c r="E89" s="190">
        <f>SUM(E87:E88)</f>
        <v>0</v>
      </c>
      <c r="F89" s="203">
        <f>SUM(F87:F88)</f>
        <v>0</v>
      </c>
      <c r="G89" s="204" t="s">
        <v>172</v>
      </c>
      <c r="H89" s="202"/>
    </row>
    <row r="90" spans="1:10">
      <c r="B90" t="s">
        <v>412</v>
      </c>
    </row>
    <row r="92" spans="1:10" ht="45" customHeight="1">
      <c r="B92" s="932"/>
      <c r="C92" s="932"/>
      <c r="D92" s="932"/>
      <c r="E92" s="932"/>
    </row>
    <row r="93" spans="1:10">
      <c r="D93"/>
    </row>
    <row r="94" spans="1:10">
      <c r="D94"/>
      <c r="F94" s="208"/>
      <c r="G94" s="208"/>
    </row>
    <row r="95" spans="1:10">
      <c r="D95"/>
      <c r="F95" s="208"/>
      <c r="G95" s="208"/>
    </row>
    <row r="96" spans="1:10">
      <c r="D96"/>
      <c r="F96" s="208"/>
      <c r="G96" s="208"/>
    </row>
    <row r="97" spans="1:9">
      <c r="B97" s="208"/>
      <c r="D97"/>
    </row>
    <row r="98" spans="1:9" ht="7.2" customHeight="1">
      <c r="A98" s="932"/>
      <c r="B98" s="932"/>
      <c r="D98"/>
    </row>
    <row r="99" spans="1:9" ht="14.4" hidden="1">
      <c r="A99" s="205"/>
      <c r="B99" s="205"/>
      <c r="C99" s="483"/>
      <c r="D99" s="483"/>
      <c r="E99" s="483"/>
      <c r="F99" s="483"/>
      <c r="G99" s="483"/>
      <c r="H99" s="483"/>
    </row>
    <row r="100" spans="1:9" ht="14.4" hidden="1">
      <c r="A100" s="205"/>
      <c r="B100" s="205"/>
      <c r="C100" s="483"/>
      <c r="D100" s="483"/>
      <c r="E100" s="483"/>
      <c r="F100" s="483"/>
      <c r="G100" s="483"/>
      <c r="H100" s="483"/>
    </row>
    <row r="101" spans="1:9" ht="14.4" hidden="1">
      <c r="A101" s="205"/>
      <c r="B101" s="205"/>
      <c r="C101" s="483"/>
      <c r="D101" s="483"/>
      <c r="E101" s="483"/>
      <c r="F101" s="483"/>
      <c r="G101" s="483"/>
      <c r="H101" s="483"/>
    </row>
    <row r="102" spans="1:9" ht="14.4" hidden="1">
      <c r="A102" s="205"/>
      <c r="B102" s="205"/>
      <c r="C102" s="483"/>
      <c r="D102" s="483"/>
      <c r="E102" s="483"/>
      <c r="F102" s="483"/>
      <c r="G102" s="483"/>
      <c r="H102" s="483"/>
    </row>
    <row r="103" spans="1:9" ht="14.4" hidden="1">
      <c r="A103" s="205"/>
      <c r="B103" s="205"/>
      <c r="C103" s="483"/>
      <c r="D103" s="483"/>
      <c r="E103" s="483"/>
      <c r="F103" s="483"/>
      <c r="G103" s="483"/>
      <c r="H103" s="483"/>
    </row>
    <row r="104" spans="1:9" ht="14.4" hidden="1">
      <c r="A104" s="205"/>
      <c r="B104" s="205"/>
      <c r="C104" s="483"/>
      <c r="D104" s="483"/>
      <c r="E104" s="483"/>
      <c r="F104" s="483"/>
      <c r="G104" s="483"/>
      <c r="H104" s="483"/>
    </row>
    <row r="105" spans="1:9" ht="14.4" hidden="1">
      <c r="A105" s="205"/>
      <c r="B105" s="205"/>
      <c r="C105" s="483"/>
      <c r="D105" s="483"/>
      <c r="E105" s="483"/>
      <c r="F105" s="483"/>
      <c r="G105" s="483"/>
      <c r="H105" s="483"/>
    </row>
    <row r="106" spans="1:9" ht="14.4" hidden="1">
      <c r="A106" s="205"/>
      <c r="B106" s="205"/>
      <c r="C106" s="483"/>
      <c r="D106" s="483"/>
      <c r="E106" s="483"/>
      <c r="F106" s="483"/>
      <c r="G106" s="483"/>
      <c r="H106" s="483"/>
    </row>
    <row r="107" spans="1:9" ht="14.4" hidden="1">
      <c r="A107" s="205"/>
      <c r="G107" s="210"/>
    </row>
    <row r="108" spans="1:9" ht="14.4" hidden="1">
      <c r="A108" s="205"/>
      <c r="G108" s="208"/>
    </row>
    <row r="109" spans="1:9" ht="17.399999999999999" customHeight="1" thickBot="1">
      <c r="A109" s="194" t="s">
        <v>235</v>
      </c>
      <c r="B109" s="926" t="s">
        <v>616</v>
      </c>
      <c r="C109" s="926"/>
      <c r="D109" s="926"/>
      <c r="E109" s="926"/>
    </row>
    <row r="110" spans="1:9" ht="78" customHeight="1" thickBot="1">
      <c r="A110" s="625" t="s">
        <v>164</v>
      </c>
      <c r="B110" s="626" t="s">
        <v>169</v>
      </c>
      <c r="C110" s="626" t="s">
        <v>173</v>
      </c>
      <c r="D110" s="627" t="s">
        <v>166</v>
      </c>
      <c r="E110" s="628" t="s">
        <v>410</v>
      </c>
      <c r="F110" s="629" t="s">
        <v>229</v>
      </c>
      <c r="G110" s="629" t="s">
        <v>228</v>
      </c>
      <c r="H110" s="626" t="s">
        <v>165</v>
      </c>
      <c r="I110" s="677" t="s">
        <v>439</v>
      </c>
    </row>
    <row r="111" spans="1:9" ht="68.400000000000006" customHeight="1" thickBot="1">
      <c r="A111" s="161">
        <v>1</v>
      </c>
      <c r="B111" s="162" t="s">
        <v>617</v>
      </c>
      <c r="C111" s="174">
        <v>400000</v>
      </c>
      <c r="D111" s="174" t="s">
        <v>172</v>
      </c>
      <c r="E111" s="174"/>
      <c r="F111" s="485" t="s">
        <v>172</v>
      </c>
      <c r="G111" s="485" t="s">
        <v>172</v>
      </c>
      <c r="H111" s="486" t="s">
        <v>618</v>
      </c>
      <c r="I111">
        <v>3</v>
      </c>
    </row>
    <row r="112" spans="1:9" ht="29.1" thickBot="1">
      <c r="A112" s="161">
        <v>2</v>
      </c>
      <c r="B112" s="162" t="s">
        <v>665</v>
      </c>
      <c r="C112" s="174">
        <v>720000</v>
      </c>
      <c r="D112" s="174" t="s">
        <v>172</v>
      </c>
      <c r="E112" s="174"/>
      <c r="F112" s="485" t="s">
        <v>172</v>
      </c>
      <c r="G112" s="485" t="s">
        <v>172</v>
      </c>
      <c r="H112" s="486">
        <v>2016</v>
      </c>
      <c r="I112">
        <v>3</v>
      </c>
    </row>
    <row r="113" spans="1:10" ht="29.1" thickBot="1">
      <c r="A113" s="161">
        <v>3</v>
      </c>
      <c r="B113" s="162" t="s">
        <v>666</v>
      </c>
      <c r="C113" s="174">
        <v>500000</v>
      </c>
      <c r="D113" s="174" t="s">
        <v>172</v>
      </c>
      <c r="E113" s="174"/>
      <c r="F113" s="485" t="s">
        <v>172</v>
      </c>
      <c r="G113" s="485" t="s">
        <v>172</v>
      </c>
      <c r="H113" s="486" t="s">
        <v>618</v>
      </c>
      <c r="I113">
        <v>3</v>
      </c>
    </row>
    <row r="114" spans="1:10" ht="29.1" thickBot="1">
      <c r="A114" s="161">
        <v>4</v>
      </c>
      <c r="B114" s="678" t="s">
        <v>668</v>
      </c>
      <c r="C114" s="174">
        <v>500000</v>
      </c>
      <c r="D114" s="174" t="s">
        <v>172</v>
      </c>
      <c r="E114" s="679"/>
      <c r="F114" s="485" t="s">
        <v>172</v>
      </c>
      <c r="G114" s="485" t="s">
        <v>172</v>
      </c>
      <c r="H114" s="486" t="s">
        <v>619</v>
      </c>
      <c r="I114">
        <v>5</v>
      </c>
    </row>
    <row r="115" spans="1:10" ht="29.1" thickBot="1">
      <c r="A115" s="658">
        <v>5</v>
      </c>
      <c r="B115" s="678" t="s">
        <v>667</v>
      </c>
      <c r="C115" s="174">
        <v>600000</v>
      </c>
      <c r="D115" s="174" t="s">
        <v>172</v>
      </c>
      <c r="E115" s="679"/>
      <c r="F115" s="485" t="s">
        <v>172</v>
      </c>
      <c r="G115" s="485" t="s">
        <v>172</v>
      </c>
      <c r="H115" s="486" t="s">
        <v>669</v>
      </c>
      <c r="I115">
        <v>10</v>
      </c>
    </row>
    <row r="116" spans="1:10" ht="29.1" thickBot="1">
      <c r="A116" s="658">
        <v>6</v>
      </c>
      <c r="B116" s="678" t="s">
        <v>670</v>
      </c>
      <c r="C116" s="174">
        <v>300000</v>
      </c>
      <c r="D116" s="212" t="s">
        <v>172</v>
      </c>
      <c r="E116" s="679"/>
      <c r="F116" s="485" t="s">
        <v>172</v>
      </c>
      <c r="G116" s="485" t="s">
        <v>172</v>
      </c>
      <c r="H116" s="486" t="s">
        <v>618</v>
      </c>
      <c r="I116">
        <v>20</v>
      </c>
    </row>
    <row r="117" spans="1:10" ht="16.2" customHeight="1" thickBot="1">
      <c r="A117" s="922" t="s">
        <v>171</v>
      </c>
      <c r="B117" s="923"/>
      <c r="C117" s="191">
        <f>SUM(C111:C116)</f>
        <v>3020000</v>
      </c>
      <c r="D117" s="211">
        <f>SUM(D111:D115)</f>
        <v>0</v>
      </c>
      <c r="E117" s="675">
        <f>('Ruch lokalny'!M$8+'Ruch lokalny'!M$11)*(7.9%*E$120)</f>
        <v>899.59187278144668</v>
      </c>
      <c r="F117" s="192">
        <v>0</v>
      </c>
      <c r="G117" s="193">
        <v>0</v>
      </c>
      <c r="H117" s="202"/>
      <c r="I117">
        <f>SUM(I111:I116)</f>
        <v>44</v>
      </c>
    </row>
    <row r="118" spans="1:10" ht="88.2" customHeight="1">
      <c r="A118" s="175"/>
      <c r="B118" s="940" t="s">
        <v>673</v>
      </c>
      <c r="C118" s="940"/>
      <c r="D118" s="940"/>
      <c r="E118" s="940"/>
      <c r="F118" s="940"/>
      <c r="G118" s="940"/>
    </row>
    <row r="119" spans="1:10" ht="70.2" customHeight="1">
      <c r="A119" s="175"/>
      <c r="E119" s="676" t="s">
        <v>672</v>
      </c>
      <c r="F119" s="550" t="s">
        <v>172</v>
      </c>
      <c r="G119" s="512"/>
    </row>
    <row r="120" spans="1:10" ht="36" customHeight="1">
      <c r="A120" s="175"/>
      <c r="B120" s="532" t="s">
        <v>442</v>
      </c>
      <c r="C120" s="533">
        <v>75</v>
      </c>
      <c r="D120" s="532" t="s">
        <v>439</v>
      </c>
      <c r="E120" s="534">
        <f>I117/C120</f>
        <v>0.58666666666666667</v>
      </c>
      <c r="F120" s="551" t="s">
        <v>172</v>
      </c>
      <c r="G120" s="512"/>
    </row>
    <row r="121" spans="1:10" ht="14.4">
      <c r="A121" s="175"/>
      <c r="B121" s="175"/>
      <c r="C121" s="175"/>
      <c r="D121" s="176"/>
      <c r="E121" s="177"/>
      <c r="F121" s="177"/>
    </row>
    <row r="122" spans="1:10" ht="18" customHeight="1" thickBot="1">
      <c r="A122" s="194" t="s">
        <v>238</v>
      </c>
      <c r="B122" s="926" t="s">
        <v>620</v>
      </c>
      <c r="C122" s="926"/>
      <c r="D122" s="926"/>
      <c r="E122" s="926"/>
      <c r="F122" s="926"/>
      <c r="G122" s="926"/>
      <c r="H122" s="926"/>
      <c r="I122" s="552"/>
    </row>
    <row r="123" spans="1:10" ht="57.9" thickBot="1">
      <c r="A123" s="625" t="s">
        <v>164</v>
      </c>
      <c r="B123" s="626" t="s">
        <v>236</v>
      </c>
      <c r="C123" s="626" t="s">
        <v>173</v>
      </c>
      <c r="D123" s="627" t="s">
        <v>166</v>
      </c>
      <c r="E123" s="628" t="s">
        <v>410</v>
      </c>
      <c r="F123" s="629" t="s">
        <v>440</v>
      </c>
      <c r="G123" s="630" t="s">
        <v>441</v>
      </c>
      <c r="H123" s="631" t="s">
        <v>226</v>
      </c>
      <c r="I123" s="631" t="s">
        <v>453</v>
      </c>
      <c r="J123" t="s">
        <v>621</v>
      </c>
    </row>
    <row r="124" spans="1:10" ht="43.5" thickBot="1">
      <c r="A124" s="680">
        <v>1</v>
      </c>
      <c r="B124" s="681" t="s">
        <v>622</v>
      </c>
      <c r="C124" s="682">
        <v>300000</v>
      </c>
      <c r="D124" s="684" t="s">
        <v>172</v>
      </c>
      <c r="E124" s="686">
        <f>BILANS!C19*(3%*I124)</f>
        <v>1.041186313337102</v>
      </c>
      <c r="F124" s="684" t="s">
        <v>172</v>
      </c>
      <c r="G124" s="695" t="s">
        <v>172</v>
      </c>
      <c r="H124" s="683" t="s">
        <v>599</v>
      </c>
      <c r="I124" s="685">
        <v>1E-3</v>
      </c>
      <c r="J124" t="s">
        <v>626</v>
      </c>
    </row>
    <row r="125" spans="1:10" ht="14.7" thickBot="1">
      <c r="A125" s="161">
        <v>2</v>
      </c>
      <c r="B125" s="687" t="s">
        <v>237</v>
      </c>
      <c r="C125" s="686">
        <v>1200000</v>
      </c>
      <c r="D125" s="688" t="s">
        <v>172</v>
      </c>
      <c r="E125" s="686">
        <f>BILANS!C19*(3%*I125)</f>
        <v>26.029657833427553</v>
      </c>
      <c r="F125" s="688" t="s">
        <v>172</v>
      </c>
      <c r="G125" s="689" t="s">
        <v>172</v>
      </c>
      <c r="H125" s="690" t="s">
        <v>227</v>
      </c>
      <c r="I125" s="691">
        <v>2.5000000000000001E-2</v>
      </c>
      <c r="J125" t="s">
        <v>626</v>
      </c>
    </row>
    <row r="126" spans="1:10" ht="43.5" thickBot="1">
      <c r="A126" s="161">
        <v>3</v>
      </c>
      <c r="B126" s="995" t="s">
        <v>671</v>
      </c>
      <c r="C126" s="686">
        <v>12000000</v>
      </c>
      <c r="D126" s="688" t="s">
        <v>172</v>
      </c>
      <c r="E126" s="686">
        <f>BILANS!C19*(4%*I126)</f>
        <v>76.35366297805416</v>
      </c>
      <c r="F126" s="688" t="s">
        <v>172</v>
      </c>
      <c r="G126" s="689" t="s">
        <v>172</v>
      </c>
      <c r="H126" s="692" t="s">
        <v>304</v>
      </c>
      <c r="I126" s="693">
        <v>5.5E-2</v>
      </c>
      <c r="J126" t="s">
        <v>625</v>
      </c>
    </row>
    <row r="127" spans="1:10" ht="29.1" thickBot="1">
      <c r="A127" s="161">
        <v>4</v>
      </c>
      <c r="B127" s="687" t="s">
        <v>623</v>
      </c>
      <c r="C127" s="686">
        <v>9000000</v>
      </c>
      <c r="D127" s="688" t="s">
        <v>172</v>
      </c>
      <c r="E127" s="686">
        <f>BILANS!C20*(5%*I127)</f>
        <v>82.169330732812497</v>
      </c>
      <c r="F127" s="688" t="s">
        <v>172</v>
      </c>
      <c r="G127" s="689" t="s">
        <v>172</v>
      </c>
      <c r="H127" s="692" t="s">
        <v>304</v>
      </c>
      <c r="I127" s="693">
        <v>7.4999999999999997E-2</v>
      </c>
      <c r="J127" t="s">
        <v>624</v>
      </c>
    </row>
    <row r="128" spans="1:10" ht="14.7" thickBot="1">
      <c r="A128" s="161"/>
      <c r="B128" s="687"/>
      <c r="C128" s="686"/>
      <c r="D128" s="686"/>
      <c r="E128" s="686"/>
      <c r="F128" s="686"/>
      <c r="G128" s="694"/>
      <c r="H128" s="692"/>
      <c r="I128" s="692"/>
    </row>
    <row r="129" spans="1:9" ht="15.9" thickBot="1">
      <c r="A129" s="922" t="s">
        <v>171</v>
      </c>
      <c r="B129" s="923"/>
      <c r="C129" s="191">
        <f>SUM(C124:C127)</f>
        <v>22500000</v>
      </c>
      <c r="D129" s="190">
        <f>SUM(D125:D128)</f>
        <v>0</v>
      </c>
      <c r="E129" s="190">
        <f>SUM(E125:E128)</f>
        <v>184.55265154429421</v>
      </c>
      <c r="F129" s="190">
        <f>Oświetlenie!G33</f>
        <v>0</v>
      </c>
      <c r="G129" s="190">
        <v>0</v>
      </c>
      <c r="H129" s="202"/>
      <c r="I129" s="202"/>
    </row>
    <row r="130" spans="1:9" ht="82.8" customHeight="1">
      <c r="A130" s="175"/>
      <c r="B130" s="940" t="s">
        <v>627</v>
      </c>
      <c r="C130" s="940"/>
      <c r="D130" s="940"/>
      <c r="E130" s="940"/>
      <c r="F130" s="940"/>
      <c r="G130" s="940"/>
      <c r="H130" s="940"/>
    </row>
    <row r="131" spans="1:9" ht="14.4">
      <c r="A131" s="175"/>
      <c r="B131" s="175"/>
      <c r="C131" s="175"/>
      <c r="D131" s="176"/>
      <c r="E131" s="177"/>
      <c r="F131" s="177"/>
    </row>
    <row r="132" spans="1:9" ht="18" customHeight="1" thickBot="1">
      <c r="A132" s="194" t="s">
        <v>167</v>
      </c>
      <c r="B132" s="926" t="s">
        <v>210</v>
      </c>
      <c r="C132" s="926"/>
      <c r="D132" s="926"/>
      <c r="E132" s="926"/>
      <c r="F132" s="926"/>
      <c r="G132" s="926"/>
      <c r="H132" s="926"/>
    </row>
    <row r="133" spans="1:9" ht="57.9" thickBot="1">
      <c r="A133" s="625" t="s">
        <v>164</v>
      </c>
      <c r="B133" s="696" t="s">
        <v>424</v>
      </c>
      <c r="C133" s="626" t="s">
        <v>173</v>
      </c>
      <c r="D133" s="627" t="s">
        <v>166</v>
      </c>
      <c r="E133" s="628" t="s">
        <v>410</v>
      </c>
      <c r="F133" s="629" t="s">
        <v>440</v>
      </c>
      <c r="G133" s="630" t="s">
        <v>441</v>
      </c>
      <c r="H133" s="631" t="s">
        <v>226</v>
      </c>
    </row>
    <row r="134" spans="1:9" ht="14.7" thickBot="1">
      <c r="A134" s="161">
        <v>1</v>
      </c>
      <c r="B134" s="162" t="s">
        <v>239</v>
      </c>
      <c r="C134" s="174">
        <v>15000</v>
      </c>
      <c r="D134" s="212" t="s">
        <v>172</v>
      </c>
      <c r="E134" s="214">
        <v>0</v>
      </c>
      <c r="F134" s="212" t="s">
        <v>172</v>
      </c>
      <c r="G134" s="213" t="s">
        <v>172</v>
      </c>
      <c r="H134" s="182" t="s">
        <v>304</v>
      </c>
    </row>
    <row r="135" spans="1:9" ht="14.7" thickBot="1">
      <c r="A135" s="161"/>
      <c r="B135" s="162"/>
      <c r="C135" s="174"/>
      <c r="D135" s="212"/>
      <c r="E135" s="174"/>
      <c r="F135" s="212"/>
      <c r="G135" s="213"/>
      <c r="H135" s="182"/>
    </row>
    <row r="136" spans="1:9" ht="15.9" thickBot="1">
      <c r="A136" s="922" t="s">
        <v>171</v>
      </c>
      <c r="B136" s="923"/>
      <c r="C136" s="191">
        <f>SUM(C134:C135)</f>
        <v>15000</v>
      </c>
      <c r="D136" s="190">
        <f>SUM(D134:D135)</f>
        <v>0</v>
      </c>
      <c r="E136" s="190">
        <f>SUM(E134:E135)</f>
        <v>0</v>
      </c>
      <c r="F136" s="190">
        <f>Oświetlenie!G41</f>
        <v>0</v>
      </c>
      <c r="G136" s="190">
        <v>0</v>
      </c>
      <c r="H136" s="202"/>
    </row>
    <row r="137" spans="1:9" ht="28.95" customHeight="1">
      <c r="A137" s="175"/>
      <c r="B137" s="487" t="s">
        <v>413</v>
      </c>
      <c r="C137" s="175"/>
      <c r="D137" s="176"/>
      <c r="E137" s="177"/>
      <c r="F137" s="177"/>
    </row>
    <row r="138" spans="1:9" ht="39.6" customHeight="1" thickBot="1">
      <c r="A138" s="194" t="s">
        <v>168</v>
      </c>
      <c r="B138" s="926" t="s">
        <v>211</v>
      </c>
      <c r="C138" s="926"/>
      <c r="D138" s="926"/>
      <c r="E138" s="926"/>
      <c r="F138" s="926"/>
      <c r="G138" s="926"/>
      <c r="H138" s="926"/>
    </row>
    <row r="139" spans="1:9" ht="57.9" thickBot="1">
      <c r="A139" s="625" t="s">
        <v>164</v>
      </c>
      <c r="B139" s="696" t="s">
        <v>240</v>
      </c>
      <c r="C139" s="626" t="s">
        <v>173</v>
      </c>
      <c r="D139" s="627" t="s">
        <v>166</v>
      </c>
      <c r="E139" s="628" t="s">
        <v>410</v>
      </c>
      <c r="F139" s="629" t="s">
        <v>440</v>
      </c>
      <c r="G139" s="630" t="s">
        <v>441</v>
      </c>
      <c r="H139" s="631" t="s">
        <v>226</v>
      </c>
    </row>
    <row r="140" spans="1:9" ht="29.1" thickBot="1">
      <c r="A140" s="161">
        <v>1</v>
      </c>
      <c r="B140" s="162" t="s">
        <v>240</v>
      </c>
      <c r="C140" s="174">
        <v>15000</v>
      </c>
      <c r="D140" s="212" t="s">
        <v>172</v>
      </c>
      <c r="E140" s="488">
        <v>0</v>
      </c>
      <c r="F140" s="212" t="s">
        <v>172</v>
      </c>
      <c r="G140" s="213" t="s">
        <v>172</v>
      </c>
      <c r="H140" s="182" t="s">
        <v>304</v>
      </c>
    </row>
    <row r="141" spans="1:9" ht="14.7" thickBot="1">
      <c r="A141" s="161"/>
      <c r="B141" s="162"/>
      <c r="C141" s="174"/>
      <c r="D141" s="212"/>
      <c r="E141" s="174"/>
      <c r="F141" s="212"/>
      <c r="G141" s="213"/>
      <c r="H141" s="182"/>
    </row>
    <row r="142" spans="1:9" ht="15.9" thickBot="1">
      <c r="A142" s="922" t="s">
        <v>171</v>
      </c>
      <c r="B142" s="923"/>
      <c r="C142" s="191">
        <f>SUM(C140:C141)</f>
        <v>15000</v>
      </c>
      <c r="D142" s="190">
        <f>SUM(D140:D141)</f>
        <v>0</v>
      </c>
      <c r="E142" s="190">
        <f>SUM(E140:E141)</f>
        <v>0</v>
      </c>
      <c r="F142" s="190">
        <f>Oświetlenie!G49</f>
        <v>0</v>
      </c>
      <c r="G142" s="190">
        <v>0</v>
      </c>
      <c r="H142" s="202"/>
    </row>
    <row r="143" spans="1:9" ht="26.4" customHeight="1">
      <c r="A143" s="175"/>
      <c r="B143" s="940" t="s">
        <v>414</v>
      </c>
      <c r="C143" s="940"/>
      <c r="D143" s="940"/>
      <c r="E143" s="940"/>
      <c r="F143" s="940"/>
      <c r="G143" s="940"/>
      <c r="H143" s="940"/>
    </row>
    <row r="144" spans="1:9" ht="14.4">
      <c r="A144" s="175"/>
      <c r="B144" s="175"/>
      <c r="C144" s="175"/>
      <c r="D144" s="176"/>
      <c r="E144" s="177"/>
      <c r="F144" s="177"/>
    </row>
    <row r="145" spans="1:8" ht="37.950000000000003" customHeight="1" thickBot="1">
      <c r="A145" s="194" t="s">
        <v>243</v>
      </c>
      <c r="B145" s="926" t="s">
        <v>212</v>
      </c>
      <c r="C145" s="926"/>
      <c r="D145" s="926"/>
      <c r="E145" s="926"/>
      <c r="F145" s="926"/>
      <c r="G145" s="926"/>
      <c r="H145" s="926"/>
    </row>
    <row r="146" spans="1:8" ht="57.9" thickBot="1">
      <c r="A146" s="625" t="s">
        <v>164</v>
      </c>
      <c r="B146" s="696" t="s">
        <v>458</v>
      </c>
      <c r="C146" s="626" t="s">
        <v>173</v>
      </c>
      <c r="D146" s="627" t="s">
        <v>166</v>
      </c>
      <c r="E146" s="628" t="s">
        <v>182</v>
      </c>
      <c r="F146" s="629" t="s">
        <v>440</v>
      </c>
      <c r="G146" s="630" t="s">
        <v>441</v>
      </c>
      <c r="H146" s="631" t="s">
        <v>226</v>
      </c>
    </row>
    <row r="147" spans="1:8" ht="14.7" thickBot="1">
      <c r="A147" s="161">
        <v>1</v>
      </c>
      <c r="B147" s="162" t="s">
        <v>241</v>
      </c>
      <c r="C147" s="174">
        <f>E153</f>
        <v>13200000</v>
      </c>
      <c r="D147" s="212" t="s">
        <v>172</v>
      </c>
      <c r="E147" s="214">
        <f>C153</f>
        <v>71.001777775469066</v>
      </c>
      <c r="F147" s="212" t="s">
        <v>172</v>
      </c>
      <c r="G147" s="213" t="s">
        <v>172</v>
      </c>
      <c r="H147" s="182" t="s">
        <v>227</v>
      </c>
    </row>
    <row r="148" spans="1:8" ht="14.7" thickBot="1">
      <c r="A148" s="161"/>
      <c r="B148" s="162"/>
      <c r="C148" s="174"/>
      <c r="D148" s="212"/>
      <c r="E148" s="174"/>
      <c r="F148" s="212"/>
      <c r="G148" s="213"/>
      <c r="H148" s="182"/>
    </row>
    <row r="149" spans="1:8" ht="15.9" thickBot="1">
      <c r="A149" s="922" t="s">
        <v>171</v>
      </c>
      <c r="B149" s="923"/>
      <c r="C149" s="191">
        <f>SUM(C147:C148)</f>
        <v>13200000</v>
      </c>
      <c r="D149" s="190">
        <f>SUM(D147:D148)</f>
        <v>0</v>
      </c>
      <c r="E149" s="190">
        <f>SUM(E147:E148)</f>
        <v>71.001777775469066</v>
      </c>
      <c r="F149" s="190">
        <f>Oświetlenie!G56</f>
        <v>0</v>
      </c>
      <c r="G149" s="190">
        <v>0</v>
      </c>
      <c r="H149" s="202"/>
    </row>
    <row r="150" spans="1:8" ht="14.4">
      <c r="A150" s="175"/>
      <c r="B150" s="175"/>
      <c r="C150" s="175"/>
      <c r="D150" s="176"/>
      <c r="E150" s="177"/>
      <c r="F150" s="177"/>
    </row>
    <row r="151" spans="1:8" ht="14.7" thickBot="1">
      <c r="A151" s="175"/>
      <c r="B151" s="175"/>
      <c r="C151" s="175"/>
      <c r="D151" s="176"/>
      <c r="E151" s="177"/>
      <c r="F151" s="177"/>
    </row>
    <row r="152" spans="1:8" ht="42.3" thickBot="1">
      <c r="A152" s="175"/>
      <c r="D152" s="527" t="s">
        <v>454</v>
      </c>
      <c r="E152" s="178" t="s">
        <v>242</v>
      </c>
      <c r="F152" s="177"/>
    </row>
    <row r="153" spans="1:8" ht="69.900000000000006">
      <c r="A153" s="175"/>
      <c r="B153" s="215" t="s">
        <v>455</v>
      </c>
      <c r="C153" s="197">
        <f>'Ruch lokalny'!M14*20%*5%</f>
        <v>71.001777775469066</v>
      </c>
      <c r="D153" s="183">
        <f>ROUND('Ruch lokalny'!C14*5%,0)</f>
        <v>88</v>
      </c>
      <c r="E153" s="183">
        <f>D153*150000</f>
        <v>13200000</v>
      </c>
      <c r="F153" s="177"/>
    </row>
    <row r="154" spans="1:8" ht="14.4">
      <c r="A154" s="175"/>
      <c r="B154" s="483"/>
      <c r="C154" s="483"/>
      <c r="D154" s="483"/>
      <c r="E154" s="483"/>
      <c r="F154" s="177"/>
    </row>
    <row r="155" spans="1:8" ht="18" thickBot="1">
      <c r="A155" s="194" t="s">
        <v>244</v>
      </c>
      <c r="B155" s="926" t="s">
        <v>628</v>
      </c>
      <c r="C155" s="926"/>
      <c r="D155" s="926"/>
      <c r="E155" s="926"/>
      <c r="F155" s="926"/>
      <c r="G155" s="926"/>
      <c r="H155" s="926"/>
    </row>
    <row r="156" spans="1:8" ht="57.9" thickBot="1">
      <c r="A156" s="698" t="s">
        <v>164</v>
      </c>
      <c r="B156" s="699" t="s">
        <v>629</v>
      </c>
      <c r="C156" s="699" t="s">
        <v>173</v>
      </c>
      <c r="D156" s="699" t="s">
        <v>166</v>
      </c>
      <c r="E156" s="700" t="s">
        <v>410</v>
      </c>
      <c r="F156" s="669" t="s">
        <v>440</v>
      </c>
      <c r="G156" s="670" t="s">
        <v>441</v>
      </c>
      <c r="H156" s="631" t="s">
        <v>226</v>
      </c>
    </row>
    <row r="157" spans="1:8" ht="14.7" thickBot="1">
      <c r="A157" s="161">
        <v>1</v>
      </c>
      <c r="B157" s="162" t="s">
        <v>630</v>
      </c>
      <c r="C157" s="174">
        <v>0</v>
      </c>
      <c r="D157" s="212" t="s">
        <v>172</v>
      </c>
      <c r="E157" s="214">
        <f>C162</f>
        <v>0</v>
      </c>
      <c r="F157" s="212" t="s">
        <v>172</v>
      </c>
      <c r="G157" s="213" t="s">
        <v>172</v>
      </c>
      <c r="H157" s="182" t="s">
        <v>450</v>
      </c>
    </row>
    <row r="158" spans="1:8" ht="14.7" thickBot="1">
      <c r="A158" s="161"/>
      <c r="B158" s="162"/>
      <c r="C158" s="174"/>
      <c r="D158" s="212"/>
      <c r="E158" s="174"/>
      <c r="F158" s="212"/>
      <c r="G158" s="213"/>
      <c r="H158" s="182"/>
    </row>
    <row r="159" spans="1:8" ht="15.9" thickBot="1">
      <c r="A159" s="922" t="s">
        <v>171</v>
      </c>
      <c r="B159" s="923"/>
      <c r="C159" s="191">
        <f>SUM(C157:C158)</f>
        <v>0</v>
      </c>
      <c r="D159" s="190">
        <f>SUM(D157:D158)</f>
        <v>0</v>
      </c>
      <c r="E159" s="190">
        <f>SUM(E157:E158)</f>
        <v>0</v>
      </c>
      <c r="F159" s="190">
        <v>0</v>
      </c>
      <c r="G159" s="190">
        <v>0</v>
      </c>
      <c r="H159" s="202"/>
    </row>
    <row r="160" spans="1:8" ht="14.4">
      <c r="A160" s="175"/>
      <c r="B160" s="941" t="s">
        <v>631</v>
      </c>
      <c r="C160" s="941"/>
      <c r="D160" s="941"/>
      <c r="E160" s="941"/>
      <c r="F160" s="941"/>
      <c r="G160" s="941"/>
      <c r="H160" s="941"/>
    </row>
    <row r="161" spans="1:11" ht="14.4">
      <c r="A161" s="175"/>
      <c r="B161" s="697"/>
      <c r="C161" s="697"/>
      <c r="D161" s="697"/>
      <c r="E161" s="697"/>
      <c r="F161" s="697"/>
      <c r="G161" s="697"/>
      <c r="H161" s="697"/>
    </row>
    <row r="162" spans="1:11" ht="38.4" customHeight="1" thickBot="1">
      <c r="A162" s="194" t="s">
        <v>245</v>
      </c>
      <c r="B162" s="926" t="s">
        <v>213</v>
      </c>
      <c r="C162" s="926"/>
      <c r="D162" s="926"/>
      <c r="E162" s="926"/>
      <c r="F162" s="926"/>
      <c r="G162" s="926"/>
      <c r="H162" s="926"/>
    </row>
    <row r="163" spans="1:11" ht="60.6" customHeight="1" thickBot="1">
      <c r="A163" s="625" t="s">
        <v>164</v>
      </c>
      <c r="B163" s="696" t="s">
        <v>424</v>
      </c>
      <c r="C163" s="626" t="s">
        <v>173</v>
      </c>
      <c r="D163" s="627" t="s">
        <v>166</v>
      </c>
      <c r="E163" s="628" t="s">
        <v>410</v>
      </c>
      <c r="F163" s="629" t="s">
        <v>440</v>
      </c>
      <c r="G163" s="630" t="s">
        <v>441</v>
      </c>
      <c r="H163" s="631" t="s">
        <v>226</v>
      </c>
    </row>
    <row r="164" spans="1:11" ht="41.4" customHeight="1" thickBot="1">
      <c r="A164" s="161">
        <v>1</v>
      </c>
      <c r="B164" s="162" t="s">
        <v>443</v>
      </c>
      <c r="C164" s="174">
        <v>50000</v>
      </c>
      <c r="D164" s="212" t="s">
        <v>172</v>
      </c>
      <c r="E164" s="214">
        <f>2*F167</f>
        <v>232</v>
      </c>
      <c r="F164" s="212" t="s">
        <v>172</v>
      </c>
      <c r="G164" s="213" t="s">
        <v>172</v>
      </c>
      <c r="H164" s="182" t="s">
        <v>304</v>
      </c>
    </row>
    <row r="165" spans="1:11" ht="14.7" thickBot="1">
      <c r="A165" s="161"/>
      <c r="B165" s="162"/>
      <c r="C165" s="174"/>
      <c r="D165" s="212"/>
      <c r="E165" s="174"/>
      <c r="F165" s="212"/>
      <c r="G165" s="213"/>
      <c r="H165" s="182"/>
    </row>
    <row r="166" spans="1:11" ht="15.9" thickBot="1">
      <c r="A166" s="922" t="s">
        <v>171</v>
      </c>
      <c r="B166" s="923"/>
      <c r="C166" s="191">
        <f>SUM(C164:C165)</f>
        <v>50000</v>
      </c>
      <c r="D166" s="190">
        <f>SUM(D164:D165)</f>
        <v>0</v>
      </c>
      <c r="E166" s="190">
        <f>SUM(E164:E165)</f>
        <v>232</v>
      </c>
      <c r="F166" s="190">
        <f>Oświetlenie!G74</f>
        <v>0</v>
      </c>
      <c r="G166" s="190">
        <v>0</v>
      </c>
      <c r="H166" s="202"/>
    </row>
    <row r="167" spans="1:11" ht="19.95" customHeight="1">
      <c r="A167" s="927" t="s">
        <v>419</v>
      </c>
      <c r="B167" s="927"/>
      <c r="C167" s="927"/>
      <c r="D167" s="927"/>
      <c r="E167" s="927"/>
      <c r="F167" s="489">
        <v>116</v>
      </c>
      <c r="G167" s="491" t="s">
        <v>418</v>
      </c>
      <c r="H167" s="490"/>
    </row>
    <row r="168" spans="1:11" ht="14.4">
      <c r="A168" s="175"/>
      <c r="B168" s="175"/>
      <c r="C168" s="175"/>
      <c r="D168" s="176"/>
      <c r="E168" s="177"/>
      <c r="F168" s="177"/>
    </row>
    <row r="169" spans="1:11" ht="30.6" customHeight="1" thickBot="1">
      <c r="A169" s="194" t="s">
        <v>246</v>
      </c>
      <c r="B169" s="926" t="s">
        <v>646</v>
      </c>
      <c r="C169" s="926"/>
      <c r="D169" s="926"/>
      <c r="E169" s="926"/>
      <c r="F169" s="926"/>
      <c r="G169" s="926"/>
      <c r="H169" s="926"/>
      <c r="I169" s="926"/>
    </row>
    <row r="170" spans="1:11" ht="57.9" thickBot="1">
      <c r="A170" s="625" t="s">
        <v>164</v>
      </c>
      <c r="B170" s="714" t="s">
        <v>640</v>
      </c>
      <c r="C170" s="626" t="s">
        <v>173</v>
      </c>
      <c r="D170" s="701" t="s">
        <v>444</v>
      </c>
      <c r="E170" s="702" t="s">
        <v>445</v>
      </c>
      <c r="F170" s="628" t="s">
        <v>182</v>
      </c>
      <c r="G170" s="629" t="s">
        <v>446</v>
      </c>
      <c r="H170" s="706" t="s">
        <v>637</v>
      </c>
      <c r="I170" s="629" t="s">
        <v>447</v>
      </c>
      <c r="J170" s="707" t="s">
        <v>638</v>
      </c>
      <c r="K170" s="631" t="s">
        <v>226</v>
      </c>
    </row>
    <row r="171" spans="1:11" ht="59.4" customHeight="1" thickBot="1">
      <c r="A171" s="161">
        <v>1</v>
      </c>
      <c r="B171" s="162" t="s">
        <v>639</v>
      </c>
      <c r="C171" s="174">
        <f>303*35000</f>
        <v>10605000</v>
      </c>
      <c r="D171" s="212">
        <f>('Paliwa opałowe'!G21)*30%*12.38%</f>
        <v>16408.292260859998</v>
      </c>
      <c r="E171" s="212">
        <f>D171/'Założenia 2 - Dane wejściowe'!K36</f>
        <v>4557.8589613499998</v>
      </c>
      <c r="F171" s="214">
        <f>'Paliwa opałowe'!I21*(30%*12.38%)</f>
        <v>1594.6717748596043</v>
      </c>
      <c r="G171" s="212">
        <f>'Paliwa opałowe'!G21</f>
        <v>441795.69899999996</v>
      </c>
      <c r="H171" s="705">
        <f>G171/'Założenia 2 - Dane wejściowe'!K36</f>
        <v>122721.02749999998</v>
      </c>
      <c r="I171" s="705">
        <f>G171-D171</f>
        <v>425387.40673913999</v>
      </c>
      <c r="J171" s="213">
        <f>I171/'Założenia 2 - Dane wejściowe'!K$36</f>
        <v>118163.16853864999</v>
      </c>
      <c r="K171" s="182" t="s">
        <v>227</v>
      </c>
    </row>
    <row r="172" spans="1:11" ht="72.3" thickBot="1">
      <c r="A172" s="161">
        <v>2</v>
      </c>
      <c r="B172" s="162" t="s">
        <v>635</v>
      </c>
      <c r="C172" s="174">
        <f>303*15000</f>
        <v>4545000</v>
      </c>
      <c r="D172" s="212">
        <f>(Prąd!J9*3.6)*30%*12.38%</f>
        <v>2767.4872188480003</v>
      </c>
      <c r="E172" s="212">
        <f>D172/'Założenia 2 - Dane wejściowe'!K36</f>
        <v>768.74644968000007</v>
      </c>
      <c r="F172" s="214">
        <f>Prąd!L9*(30%*12.38%)</f>
        <v>684.1843402152</v>
      </c>
      <c r="G172" s="212">
        <f>Prąd!J$9*'Założenia 2 - Dane wejściowe'!K36</f>
        <v>74515.003200000006</v>
      </c>
      <c r="H172" s="705">
        <f>G172/'Założenia 2 - Dane wejściowe'!K36</f>
        <v>20698.612000000001</v>
      </c>
      <c r="I172" s="705">
        <f>G172-D172</f>
        <v>71747.515981152013</v>
      </c>
      <c r="J172" s="213">
        <f>I172/'Założenia 2 - Dane wejściowe'!K$36</f>
        <v>19929.865550320003</v>
      </c>
      <c r="K172" s="182" t="s">
        <v>227</v>
      </c>
    </row>
    <row r="173" spans="1:11" ht="15.9" thickBot="1">
      <c r="A173" s="922" t="s">
        <v>171</v>
      </c>
      <c r="B173" s="923"/>
      <c r="C173" s="191">
        <f>SUM(C171:C172)</f>
        <v>15150000</v>
      </c>
      <c r="D173" s="190">
        <f>SUM(D171:D172)</f>
        <v>19175.779479707999</v>
      </c>
      <c r="E173" s="190">
        <f>SUM(E171:E172)</f>
        <v>5326.6054110300001</v>
      </c>
      <c r="F173" s="190">
        <f>SUM(F171:F172)</f>
        <v>2278.8561150748042</v>
      </c>
      <c r="G173" s="190">
        <f>SUM(G171:G172)</f>
        <v>516310.70219999994</v>
      </c>
      <c r="H173" s="190">
        <f>H171+H172</f>
        <v>143419.63949999999</v>
      </c>
      <c r="I173" s="190">
        <f t="shared" ref="I173" si="20">SUM(I171:I172)</f>
        <v>497134.922720292</v>
      </c>
      <c r="J173" s="190">
        <f>J171+J172</f>
        <v>138093.03408896999</v>
      </c>
      <c r="K173" s="202"/>
    </row>
    <row r="174" spans="1:11" ht="15.6">
      <c r="A174" s="205"/>
      <c r="B174" s="205"/>
      <c r="C174" s="483"/>
      <c r="D174" s="483"/>
      <c r="E174" s="483"/>
      <c r="F174" s="483"/>
      <c r="G174" s="206" t="s">
        <v>180</v>
      </c>
      <c r="H174" s="206" t="s">
        <v>178</v>
      </c>
      <c r="I174" s="206" t="s">
        <v>180</v>
      </c>
      <c r="J174" s="206" t="s">
        <v>178</v>
      </c>
      <c r="K174" s="483"/>
    </row>
    <row r="175" spans="1:11" ht="75.599999999999994" customHeight="1">
      <c r="A175" s="175"/>
      <c r="B175" s="928" t="s">
        <v>636</v>
      </c>
      <c r="C175" s="928"/>
      <c r="D175" s="928"/>
      <c r="E175" s="928"/>
      <c r="F175" s="928"/>
      <c r="G175" s="928"/>
      <c r="H175" s="928"/>
      <c r="I175" s="928"/>
    </row>
    <row r="176" spans="1:11" ht="19.2" customHeight="1">
      <c r="A176" s="175"/>
      <c r="B176" s="624"/>
      <c r="C176" s="624"/>
      <c r="D176" s="624"/>
      <c r="E176" s="624"/>
      <c r="F176" s="624"/>
      <c r="G176" s="624"/>
      <c r="H176" s="624"/>
      <c r="I176" s="624"/>
    </row>
    <row r="177" spans="1:9" ht="52.2" customHeight="1" thickBot="1">
      <c r="A177" s="194" t="s">
        <v>257</v>
      </c>
      <c r="B177" s="926" t="s">
        <v>415</v>
      </c>
      <c r="C177" s="926"/>
      <c r="D177" s="926"/>
      <c r="E177" s="926"/>
      <c r="F177" s="926"/>
      <c r="G177" s="926"/>
      <c r="H177" s="926"/>
      <c r="I177" s="926"/>
    </row>
    <row r="178" spans="1:9" ht="57.9" thickBot="1">
      <c r="A178" s="625" t="s">
        <v>164</v>
      </c>
      <c r="B178" s="626" t="s">
        <v>417</v>
      </c>
      <c r="C178" s="626" t="s">
        <v>173</v>
      </c>
      <c r="D178" s="701" t="s">
        <v>444</v>
      </c>
      <c r="E178" s="702" t="s">
        <v>445</v>
      </c>
      <c r="F178" s="628" t="s">
        <v>182</v>
      </c>
      <c r="G178" s="629" t="s">
        <v>446</v>
      </c>
      <c r="H178" s="630" t="s">
        <v>447</v>
      </c>
      <c r="I178" s="631" t="s">
        <v>226</v>
      </c>
    </row>
    <row r="179" spans="1:9" ht="59.4" customHeight="1" thickBot="1">
      <c r="A179" s="161">
        <v>1</v>
      </c>
      <c r="B179" s="162" t="s">
        <v>633</v>
      </c>
      <c r="C179" s="174">
        <f>12*150000</f>
        <v>1800000</v>
      </c>
      <c r="D179" s="212">
        <f>SUM(Gaz!D8:D10)*(20%*14.46%)</f>
        <v>123.55853099999999</v>
      </c>
      <c r="E179" s="212">
        <f>D179/'Założenia 2 - Dane wejściowe'!K36</f>
        <v>34.321814166666663</v>
      </c>
      <c r="F179" s="214">
        <f>SUM(Gaz!F8:F10)*(20%*14.46%)</f>
        <v>6.7957192049999993</v>
      </c>
      <c r="G179" s="212">
        <f>Gaz!D12</f>
        <v>122955.82974999998</v>
      </c>
      <c r="H179" s="213">
        <f>G179-D179</f>
        <v>122832.27121899997</v>
      </c>
      <c r="I179" s="182" t="s">
        <v>227</v>
      </c>
    </row>
    <row r="180" spans="1:9" ht="14.7" thickBot="1">
      <c r="A180" s="161"/>
      <c r="B180" s="162"/>
      <c r="C180" s="174"/>
      <c r="D180" s="174"/>
      <c r="E180" s="212"/>
      <c r="F180" s="174"/>
      <c r="G180" s="212"/>
      <c r="H180" s="213"/>
      <c r="I180" s="182"/>
    </row>
    <row r="181" spans="1:9" ht="15.9" thickBot="1">
      <c r="A181" s="922" t="s">
        <v>171</v>
      </c>
      <c r="B181" s="923"/>
      <c r="C181" s="191">
        <f>SUM(C179:C180)</f>
        <v>1800000</v>
      </c>
      <c r="D181" s="190">
        <f>SUM(D179:D180)</f>
        <v>123.55853099999999</v>
      </c>
      <c r="E181" s="190">
        <f>SUM(E179:E180)</f>
        <v>34.321814166666663</v>
      </c>
      <c r="F181" s="190">
        <f>SUM(F179:F180)</f>
        <v>6.7957192049999993</v>
      </c>
      <c r="G181" s="190">
        <f>SUM(G179:G180)</f>
        <v>122955.82974999998</v>
      </c>
      <c r="H181" s="190">
        <f t="shared" ref="H181" si="21">SUM(H179:H180)</f>
        <v>122832.27121899997</v>
      </c>
      <c r="I181" s="202"/>
    </row>
    <row r="182" spans="1:9" ht="15.6">
      <c r="A182" s="205"/>
      <c r="B182" s="205"/>
      <c r="C182" s="206"/>
      <c r="D182" s="206"/>
      <c r="E182" s="206"/>
      <c r="F182" s="206"/>
      <c r="G182" s="206">
        <f>G181/'Założenia 2 - Dane wejściowe'!K36</f>
        <v>34154.397152777768</v>
      </c>
      <c r="H182" s="206">
        <f>H181/'Założenia 2 - Dane wejściowe'!K36</f>
        <v>34120.075338611103</v>
      </c>
      <c r="I182" s="207"/>
    </row>
    <row r="183" spans="1:9" ht="14.4">
      <c r="A183" s="175"/>
      <c r="B183" s="175"/>
      <c r="C183" s="175"/>
      <c r="D183" s="176"/>
      <c r="E183" s="177"/>
      <c r="F183" s="177"/>
      <c r="G183" s="185" t="s">
        <v>178</v>
      </c>
      <c r="H183" s="185" t="s">
        <v>178</v>
      </c>
    </row>
    <row r="184" spans="1:9" ht="56.4" customHeight="1">
      <c r="A184" s="175"/>
      <c r="B184" s="929" t="s">
        <v>632</v>
      </c>
      <c r="C184" s="929"/>
      <c r="D184" s="929"/>
      <c r="E184" s="929"/>
      <c r="F184" s="929"/>
      <c r="G184" s="929"/>
      <c r="H184" s="929"/>
      <c r="I184" s="929"/>
    </row>
    <row r="185" spans="1:9" ht="14.4">
      <c r="A185" s="175"/>
      <c r="B185" s="483"/>
      <c r="C185" s="483"/>
      <c r="D185" s="526"/>
      <c r="E185" s="483"/>
      <c r="F185" s="483"/>
      <c r="G185" s="483"/>
      <c r="H185" s="483"/>
    </row>
    <row r="186" spans="1:9" ht="18" thickBot="1">
      <c r="A186" s="194" t="s">
        <v>258</v>
      </c>
      <c r="B186" s="926" t="s">
        <v>214</v>
      </c>
      <c r="C186" s="926"/>
      <c r="D186" s="926"/>
      <c r="E186" s="926"/>
      <c r="F186" s="926"/>
      <c r="G186" s="926"/>
      <c r="H186" s="926"/>
    </row>
    <row r="187" spans="1:9" ht="57.9" thickBot="1">
      <c r="A187" s="625" t="s">
        <v>164</v>
      </c>
      <c r="B187" s="696" t="s">
        <v>247</v>
      </c>
      <c r="C187" s="626" t="s">
        <v>173</v>
      </c>
      <c r="D187" s="703" t="s">
        <v>448</v>
      </c>
      <c r="E187" s="628" t="s">
        <v>182</v>
      </c>
      <c r="F187" s="629" t="s">
        <v>440</v>
      </c>
      <c r="G187" s="630" t="s">
        <v>441</v>
      </c>
      <c r="H187" s="631" t="s">
        <v>226</v>
      </c>
    </row>
    <row r="188" spans="1:9" ht="14.7" thickBot="1">
      <c r="A188" s="161">
        <v>1</v>
      </c>
      <c r="B188" s="162" t="s">
        <v>247</v>
      </c>
      <c r="C188" s="174">
        <f>G193</f>
        <v>540000</v>
      </c>
      <c r="D188" s="212">
        <f>E193</f>
        <v>90</v>
      </c>
      <c r="E188" s="214">
        <f>F193</f>
        <v>80.099999999999994</v>
      </c>
      <c r="F188" s="212">
        <f>Prąd!J11</f>
        <v>44698.612000000001</v>
      </c>
      <c r="G188" s="213">
        <f>F188-D188</f>
        <v>44608.612000000001</v>
      </c>
      <c r="H188" s="182" t="s">
        <v>227</v>
      </c>
    </row>
    <row r="189" spans="1:9" ht="14.7" thickBot="1">
      <c r="A189" s="161"/>
      <c r="B189" s="162"/>
      <c r="C189" s="174"/>
      <c r="D189" s="212"/>
      <c r="E189" s="174"/>
      <c r="F189" s="212"/>
      <c r="G189" s="213"/>
      <c r="H189" s="182"/>
    </row>
    <row r="190" spans="1:9" ht="15.9" thickBot="1">
      <c r="A190" s="922" t="s">
        <v>171</v>
      </c>
      <c r="B190" s="923"/>
      <c r="C190" s="191">
        <f>SUM(C188:C189)</f>
        <v>540000</v>
      </c>
      <c r="D190" s="190">
        <f>SUM(D188:D189)</f>
        <v>90</v>
      </c>
      <c r="E190" s="190">
        <f>SUM(E188:E189)</f>
        <v>80.099999999999994</v>
      </c>
      <c r="F190" s="190">
        <f>SUM(F188:F189)</f>
        <v>44698.612000000001</v>
      </c>
      <c r="G190" s="190">
        <f>SUM(G188:G189)</f>
        <v>44608.612000000001</v>
      </c>
      <c r="H190" s="202"/>
    </row>
    <row r="191" spans="1:9" ht="14.7" thickBot="1">
      <c r="A191" s="175"/>
      <c r="B191" s="175"/>
      <c r="C191" s="175"/>
      <c r="D191" s="176"/>
      <c r="E191" s="177"/>
      <c r="F191" s="177"/>
    </row>
    <row r="192" spans="1:9" ht="41.7" thickBot="1">
      <c r="B192" s="216" t="s">
        <v>420</v>
      </c>
      <c r="C192" s="217" t="s">
        <v>248</v>
      </c>
      <c r="D192" s="528" t="s">
        <v>249</v>
      </c>
      <c r="E192" s="217" t="s">
        <v>250</v>
      </c>
      <c r="F192" s="217" t="s">
        <v>175</v>
      </c>
      <c r="G192" s="218" t="s">
        <v>251</v>
      </c>
      <c r="H192" s="149"/>
    </row>
    <row r="193" spans="1:8" ht="14.1">
      <c r="A193" s="924" t="s">
        <v>252</v>
      </c>
      <c r="B193" s="219">
        <v>30</v>
      </c>
      <c r="C193" s="220">
        <v>3</v>
      </c>
      <c r="D193" s="529">
        <f>B193*C193</f>
        <v>90</v>
      </c>
      <c r="E193" s="221">
        <f>D193</f>
        <v>90</v>
      </c>
      <c r="F193" s="221">
        <f>E193*0.89</f>
        <v>80.099999999999994</v>
      </c>
      <c r="G193" s="222">
        <f>D193*6000</f>
        <v>540000</v>
      </c>
      <c r="H193" s="223" t="s">
        <v>200</v>
      </c>
    </row>
    <row r="194" spans="1:8" ht="14.4" thickBot="1">
      <c r="A194" s="925"/>
      <c r="B194" s="224"/>
      <c r="C194" s="225" t="s">
        <v>253</v>
      </c>
      <c r="D194" s="530" t="s">
        <v>248</v>
      </c>
      <c r="E194" s="226" t="s">
        <v>216</v>
      </c>
      <c r="F194" s="226" t="s">
        <v>199</v>
      </c>
      <c r="G194" s="227"/>
      <c r="H194" s="228"/>
    </row>
    <row r="195" spans="1:8" ht="28.2" customHeight="1">
      <c r="B195" t="s">
        <v>449</v>
      </c>
    </row>
    <row r="196" spans="1:8" ht="34.950000000000003" customHeight="1" thickBot="1">
      <c r="A196" s="194" t="s">
        <v>614</v>
      </c>
      <c r="B196" s="926" t="s">
        <v>215</v>
      </c>
      <c r="C196" s="926"/>
      <c r="D196" s="926"/>
      <c r="E196" s="926"/>
      <c r="F196" s="926"/>
      <c r="G196" s="926"/>
      <c r="H196" s="926"/>
    </row>
    <row r="197" spans="1:8" ht="57.9" thickBot="1">
      <c r="A197" s="625" t="s">
        <v>164</v>
      </c>
      <c r="B197" s="696" t="s">
        <v>457</v>
      </c>
      <c r="C197" s="626" t="s">
        <v>173</v>
      </c>
      <c r="D197" s="703" t="s">
        <v>448</v>
      </c>
      <c r="E197" s="628" t="s">
        <v>182</v>
      </c>
      <c r="F197" s="629" t="s">
        <v>440</v>
      </c>
      <c r="G197" s="630" t="s">
        <v>441</v>
      </c>
      <c r="H197" s="631" t="s">
        <v>226</v>
      </c>
    </row>
    <row r="198" spans="1:8" ht="14.7" thickBot="1">
      <c r="A198" s="161">
        <v>1</v>
      </c>
      <c r="B198" s="162" t="s">
        <v>421</v>
      </c>
      <c r="C198" s="174">
        <f>G202</f>
        <v>1200000</v>
      </c>
      <c r="D198" s="212">
        <f>E202</f>
        <v>240</v>
      </c>
      <c r="E198" s="214">
        <f>F202</f>
        <v>213.6</v>
      </c>
      <c r="F198" s="212">
        <f>Prąd!J11</f>
        <v>44698.612000000001</v>
      </c>
      <c r="G198" s="213">
        <f>F198-D198</f>
        <v>44458.612000000001</v>
      </c>
      <c r="H198" s="182" t="s">
        <v>227</v>
      </c>
    </row>
    <row r="199" spans="1:8" ht="14.7" thickBot="1">
      <c r="A199" s="161"/>
      <c r="B199" s="162"/>
      <c r="C199" s="174"/>
      <c r="D199" s="212"/>
      <c r="E199" s="174"/>
      <c r="F199" s="212"/>
      <c r="G199" s="213"/>
      <c r="H199" s="182"/>
    </row>
    <row r="200" spans="1:8" ht="15.9" thickBot="1">
      <c r="A200" s="922" t="s">
        <v>171</v>
      </c>
      <c r="B200" s="923"/>
      <c r="C200" s="191">
        <f>SUM(C198:C199)</f>
        <v>1200000</v>
      </c>
      <c r="D200" s="190">
        <f>SUM(D198:D199)</f>
        <v>240</v>
      </c>
      <c r="E200" s="190">
        <f>SUM(E198:E199)</f>
        <v>213.6</v>
      </c>
      <c r="F200" s="190">
        <f t="shared" ref="F200" si="22">SUM(F198:F199)</f>
        <v>44698.612000000001</v>
      </c>
      <c r="G200" s="190">
        <f>SUM(G198:G199)</f>
        <v>44458.612000000001</v>
      </c>
      <c r="H200" s="202"/>
    </row>
    <row r="201" spans="1:8" ht="14.1" thickBot="1"/>
    <row r="202" spans="1:8" ht="14.1">
      <c r="A202" s="924" t="s">
        <v>254</v>
      </c>
      <c r="B202" s="223">
        <v>12</v>
      </c>
      <c r="C202" s="229">
        <v>20</v>
      </c>
      <c r="D202" s="531">
        <f>B202*C202</f>
        <v>240</v>
      </c>
      <c r="E202" s="230">
        <f>D202</f>
        <v>240</v>
      </c>
      <c r="F202" s="230">
        <f>E202*0.89</f>
        <v>213.6</v>
      </c>
      <c r="G202" s="231">
        <f>E202*5000</f>
        <v>1200000</v>
      </c>
      <c r="H202" s="219" t="s">
        <v>200</v>
      </c>
    </row>
    <row r="203" spans="1:8" ht="14.4" thickBot="1">
      <c r="A203" s="925"/>
      <c r="B203" s="224"/>
      <c r="C203" s="225" t="s">
        <v>253</v>
      </c>
      <c r="D203" s="530"/>
      <c r="E203" s="232" t="s">
        <v>255</v>
      </c>
      <c r="F203" s="232" t="s">
        <v>199</v>
      </c>
      <c r="G203" s="227"/>
      <c r="H203" s="228"/>
    </row>
    <row r="204" spans="1:8">
      <c r="B204" t="s">
        <v>422</v>
      </c>
    </row>
    <row r="206" spans="1:8" ht="35.4" customHeight="1" thickBot="1">
      <c r="A206" s="194" t="s">
        <v>615</v>
      </c>
      <c r="B206" s="926" t="s">
        <v>456</v>
      </c>
      <c r="C206" s="926"/>
      <c r="D206" s="926"/>
      <c r="E206" s="926"/>
      <c r="F206" s="926"/>
      <c r="G206" s="926"/>
      <c r="H206" s="926"/>
    </row>
    <row r="207" spans="1:8" ht="57.9" thickBot="1">
      <c r="A207" s="625" t="s">
        <v>164</v>
      </c>
      <c r="B207" s="704" t="s">
        <v>634</v>
      </c>
      <c r="C207" s="626" t="s">
        <v>173</v>
      </c>
      <c r="D207" s="703" t="s">
        <v>448</v>
      </c>
      <c r="E207" s="628" t="s">
        <v>182</v>
      </c>
      <c r="F207" s="629" t="s">
        <v>440</v>
      </c>
      <c r="G207" s="630" t="s">
        <v>441</v>
      </c>
      <c r="H207" s="631" t="s">
        <v>226</v>
      </c>
    </row>
    <row r="208" spans="1:8" ht="14.7" thickBot="1">
      <c r="A208" s="161">
        <v>1</v>
      </c>
      <c r="B208" s="162" t="s">
        <v>256</v>
      </c>
      <c r="C208" s="174">
        <f>G212</f>
        <v>5000000</v>
      </c>
      <c r="D208" s="212">
        <f>E212</f>
        <v>1000</v>
      </c>
      <c r="E208" s="214">
        <f>F212</f>
        <v>890</v>
      </c>
      <c r="F208" s="212">
        <f>Prąd!J11</f>
        <v>44698.612000000001</v>
      </c>
      <c r="G208" s="213">
        <f>F208-D208</f>
        <v>43698.612000000001</v>
      </c>
      <c r="H208" s="182" t="s">
        <v>227</v>
      </c>
    </row>
    <row r="209" spans="1:8" ht="14.7" thickBot="1">
      <c r="A209" s="161"/>
      <c r="B209" s="162"/>
      <c r="C209" s="174"/>
      <c r="D209" s="212"/>
      <c r="E209" s="174"/>
      <c r="F209" s="212"/>
      <c r="G209" s="213"/>
      <c r="H209" s="182"/>
    </row>
    <row r="210" spans="1:8" ht="15.9" thickBot="1">
      <c r="A210" s="922" t="s">
        <v>171</v>
      </c>
      <c r="B210" s="923"/>
      <c r="C210" s="191">
        <f>SUM(C208:C209)</f>
        <v>5000000</v>
      </c>
      <c r="D210" s="190">
        <f>SUM(D208:D209)</f>
        <v>1000</v>
      </c>
      <c r="E210" s="190">
        <f>SUM(E208:E209)</f>
        <v>890</v>
      </c>
      <c r="F210" s="190">
        <f t="shared" ref="F210" si="23">SUM(F208:F209)</f>
        <v>44698.612000000001</v>
      </c>
      <c r="G210" s="190">
        <f t="shared" ref="G210" si="24">SUM(G208:G209)</f>
        <v>43698.612000000001</v>
      </c>
      <c r="H210" s="202"/>
    </row>
    <row r="211" spans="1:8" ht="14.1" thickBot="1"/>
    <row r="212" spans="1:8" ht="14.1">
      <c r="A212" s="924" t="s">
        <v>256</v>
      </c>
      <c r="B212" s="223">
        <v>1</v>
      </c>
      <c r="C212" s="229">
        <v>1000</v>
      </c>
      <c r="D212" s="531">
        <f>B212*C212</f>
        <v>1000</v>
      </c>
      <c r="E212" s="230">
        <f>D212</f>
        <v>1000</v>
      </c>
      <c r="F212" s="230">
        <f>E212*0.89</f>
        <v>890</v>
      </c>
      <c r="G212" s="231">
        <f>E212*5000</f>
        <v>5000000</v>
      </c>
      <c r="H212" s="219" t="s">
        <v>200</v>
      </c>
    </row>
    <row r="213" spans="1:8" ht="14.4" thickBot="1">
      <c r="A213" s="925"/>
      <c r="B213" s="224"/>
      <c r="C213" s="225" t="s">
        <v>253</v>
      </c>
      <c r="D213" s="530"/>
      <c r="E213" s="232" t="s">
        <v>255</v>
      </c>
      <c r="F213" s="232" t="s">
        <v>199</v>
      </c>
      <c r="G213" s="227"/>
      <c r="H213" s="228"/>
    </row>
    <row r="214" spans="1:8" ht="14.4">
      <c r="A214" s="175"/>
      <c r="B214" s="175"/>
      <c r="C214" s="175"/>
      <c r="D214" s="176"/>
      <c r="E214" s="177"/>
      <c r="F214" s="177"/>
    </row>
    <row r="215" spans="1:8" ht="14.4">
      <c r="A215" s="175"/>
      <c r="B215" s="175"/>
      <c r="C215" s="175"/>
      <c r="D215" s="176"/>
      <c r="E215" s="177"/>
      <c r="F215" s="177"/>
    </row>
    <row r="216" spans="1:8" ht="14.4">
      <c r="A216" s="175"/>
      <c r="B216" s="175"/>
      <c r="C216" s="175"/>
      <c r="D216" s="176"/>
      <c r="E216" s="177"/>
      <c r="F216" s="177"/>
    </row>
  </sheetData>
  <mergeCells count="48">
    <mergeCell ref="B132:H132"/>
    <mergeCell ref="B162:H162"/>
    <mergeCell ref="A136:B136"/>
    <mergeCell ref="A142:B142"/>
    <mergeCell ref="B138:H138"/>
    <mergeCell ref="B145:H145"/>
    <mergeCell ref="A149:B149"/>
    <mergeCell ref="B143:H143"/>
    <mergeCell ref="B155:H155"/>
    <mergeCell ref="A159:B159"/>
    <mergeCell ref="B160:H160"/>
    <mergeCell ref="A117:B117"/>
    <mergeCell ref="A98:B98"/>
    <mergeCell ref="B118:G118"/>
    <mergeCell ref="B130:H130"/>
    <mergeCell ref="A129:B129"/>
    <mergeCell ref="B122:H122"/>
    <mergeCell ref="B6:G6"/>
    <mergeCell ref="K6:Q6"/>
    <mergeCell ref="B92:E92"/>
    <mergeCell ref="B109:E109"/>
    <mergeCell ref="A89:B89"/>
    <mergeCell ref="A48:C48"/>
    <mergeCell ref="A75:B75"/>
    <mergeCell ref="B85:H85"/>
    <mergeCell ref="A58:B58"/>
    <mergeCell ref="B54:H54"/>
    <mergeCell ref="B60:H60"/>
    <mergeCell ref="A66:B66"/>
    <mergeCell ref="B69:H69"/>
    <mergeCell ref="B76:H76"/>
    <mergeCell ref="A166:B166"/>
    <mergeCell ref="A173:B173"/>
    <mergeCell ref="B169:I169"/>
    <mergeCell ref="B186:H186"/>
    <mergeCell ref="A167:E167"/>
    <mergeCell ref="B175:I175"/>
    <mergeCell ref="B184:I184"/>
    <mergeCell ref="B177:I177"/>
    <mergeCell ref="A181:B181"/>
    <mergeCell ref="A190:B190"/>
    <mergeCell ref="A193:A194"/>
    <mergeCell ref="A202:A203"/>
    <mergeCell ref="A212:A213"/>
    <mergeCell ref="B196:H196"/>
    <mergeCell ref="A200:B200"/>
    <mergeCell ref="B206:H206"/>
    <mergeCell ref="A210:B210"/>
  </mergeCells>
  <pageMargins left="0.7" right="0.7" top="0.75" bottom="0.75" header="0.3" footer="0.3"/>
  <pageSetup paperSize="9" scale="31" orientation="portrait" horizontalDpi="4294967295" verticalDpi="4294967295" r:id="rId1"/>
  <rowBreaks count="2" manualBreakCount="2">
    <brk id="68" max="16383" man="1"/>
    <brk id="143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</sheetPr>
  <dimension ref="B1:N65"/>
  <sheetViews>
    <sheetView tabSelected="1" view="pageBreakPreview" topLeftCell="C50" zoomScaleNormal="100" zoomScaleSheetLayoutView="100" workbookViewId="0">
      <selection activeCell="E60" sqref="E60"/>
    </sheetView>
  </sheetViews>
  <sheetFormatPr defaultRowHeight="13.8"/>
  <cols>
    <col min="1" max="1" width="8.76171875" style="717"/>
    <col min="2" max="2" width="8.47265625" style="717" customWidth="1"/>
    <col min="3" max="3" width="45.90234375" style="717" customWidth="1"/>
    <col min="4" max="4" width="15.90234375" style="717" customWidth="1"/>
    <col min="5" max="5" width="16.47265625" style="717" customWidth="1"/>
    <col min="6" max="6" width="14.90234375" style="717" customWidth="1"/>
    <col min="7" max="7" width="8.76171875" style="717"/>
    <col min="8" max="8" width="8.28515625" style="717" customWidth="1"/>
    <col min="9" max="9" width="8.1875" style="717" customWidth="1"/>
    <col min="10" max="11" width="8.76171875" style="717"/>
    <col min="12" max="12" width="7.37890625" style="717" customWidth="1"/>
    <col min="13" max="13" width="9.6171875" style="717" customWidth="1"/>
    <col min="14" max="14" width="13.1875" style="717" customWidth="1"/>
    <col min="15" max="16384" width="8.76171875" style="717"/>
  </cols>
  <sheetData>
    <row r="1" spans="2:14" ht="27.6">
      <c r="M1" s="718" t="s">
        <v>460</v>
      </c>
      <c r="N1" s="719" t="s">
        <v>461</v>
      </c>
    </row>
    <row r="2" spans="2:14" ht="18.3">
      <c r="I2" s="720">
        <v>1</v>
      </c>
      <c r="J2" s="721" t="s">
        <v>127</v>
      </c>
      <c r="K2" s="720"/>
      <c r="L2" s="720"/>
      <c r="M2" s="722">
        <f>E13+E18+E38+E41+E42+E43</f>
        <v>2127.6246102151999</v>
      </c>
      <c r="N2" s="722">
        <f>D13+D18+D38+D41+D42+D43</f>
        <v>2390.5894496800001</v>
      </c>
    </row>
    <row r="3" spans="2:14" ht="18.600000000000001" thickBot="1">
      <c r="I3" s="720">
        <v>2</v>
      </c>
      <c r="J3" s="721" t="s">
        <v>34</v>
      </c>
      <c r="K3" s="720"/>
      <c r="L3" s="720"/>
      <c r="M3" s="722">
        <v>0</v>
      </c>
      <c r="N3" s="722">
        <v>0</v>
      </c>
    </row>
    <row r="4" spans="2:14" ht="18.3">
      <c r="B4" s="960" t="s">
        <v>164</v>
      </c>
      <c r="C4" s="962" t="s">
        <v>204</v>
      </c>
      <c r="D4" s="962" t="s">
        <v>205</v>
      </c>
      <c r="E4" s="962" t="s">
        <v>206</v>
      </c>
      <c r="F4" s="943" t="s">
        <v>207</v>
      </c>
      <c r="I4" s="720">
        <v>3</v>
      </c>
      <c r="J4" s="721" t="s">
        <v>128</v>
      </c>
      <c r="K4" s="720"/>
      <c r="L4" s="720"/>
      <c r="M4" s="722">
        <f>E11+E20+E22+E24+E26+E29+E32+E34</f>
        <v>1387.1463021012098</v>
      </c>
      <c r="N4" s="722">
        <f>D11+D20+D22+D24+D26+D29+D32+D34</f>
        <v>0</v>
      </c>
    </row>
    <row r="5" spans="2:14" ht="18.3">
      <c r="B5" s="977"/>
      <c r="C5" s="978"/>
      <c r="D5" s="978"/>
      <c r="E5" s="978"/>
      <c r="F5" s="945"/>
      <c r="I5" s="720">
        <v>4</v>
      </c>
      <c r="J5" s="721" t="s">
        <v>129</v>
      </c>
      <c r="K5" s="720"/>
      <c r="L5" s="720"/>
      <c r="M5" s="722">
        <f>E7+E9+E15+E35+E39</f>
        <v>1975.1775791737141</v>
      </c>
      <c r="N5" s="722">
        <f>D7+D9+D15+D35+D39</f>
        <v>6033.3969933331846</v>
      </c>
    </row>
    <row r="6" spans="2:14" ht="18.600000000000001" thickBot="1">
      <c r="B6" s="961"/>
      <c r="C6" s="963"/>
      <c r="D6" s="963"/>
      <c r="E6" s="963"/>
      <c r="F6" s="947"/>
      <c r="I6" s="720">
        <v>5</v>
      </c>
      <c r="J6" s="721" t="s">
        <v>109</v>
      </c>
      <c r="K6" s="720"/>
      <c r="L6" s="720"/>
      <c r="M6" s="723">
        <v>0</v>
      </c>
      <c r="N6" s="723">
        <v>0</v>
      </c>
    </row>
    <row r="7" spans="2:14" ht="19.95" customHeight="1">
      <c r="B7" s="951">
        <v>1</v>
      </c>
      <c r="C7" s="948" t="str">
        <f>'Inwestycje i działania'!B6</f>
        <v>Termomodernizacja budynków użyteczności publicznej na terenie Gminy Szprotawa</v>
      </c>
      <c r="D7" s="953">
        <f>'Inwestycje i działania'!G49</f>
        <v>1309.2924999999998</v>
      </c>
      <c r="E7" s="953">
        <f>'Inwestycje i działania'!H48</f>
        <v>329.06709899999998</v>
      </c>
      <c r="F7" s="953">
        <f>'Inwestycje i działania'!I48</f>
        <v>9844755.1600000001</v>
      </c>
      <c r="G7" s="717">
        <v>4</v>
      </c>
      <c r="H7" s="717" t="s">
        <v>297</v>
      </c>
      <c r="M7" s="724">
        <f>SUM(M2:M6)</f>
        <v>5489.9484914901241</v>
      </c>
      <c r="N7" s="725">
        <f>SUM(N2:N6)</f>
        <v>8423.9864430131856</v>
      </c>
    </row>
    <row r="8" spans="2:14" ht="32.4" customHeight="1" thickBot="1">
      <c r="B8" s="952"/>
      <c r="C8" s="950"/>
      <c r="D8" s="954"/>
      <c r="E8" s="954"/>
      <c r="F8" s="954"/>
      <c r="I8" s="726" t="s">
        <v>4</v>
      </c>
      <c r="J8" s="727" t="s">
        <v>123</v>
      </c>
      <c r="K8" s="728"/>
      <c r="L8" s="728"/>
      <c r="M8" s="729">
        <f>E15+E35+E38+E41</f>
        <v>2358.9561150748041</v>
      </c>
      <c r="N8" s="729">
        <f>D15+D35+D38+D41</f>
        <v>5416.6054110300001</v>
      </c>
    </row>
    <row r="9" spans="2:14" ht="18.3">
      <c r="B9" s="951">
        <v>2</v>
      </c>
      <c r="C9" s="955" t="str">
        <f>'Inwestycje i działania'!B54</f>
        <v>Inwestycje w obszarze modernizacji lokalnej sieci cieplnej Szprotawskiego Zarządu Nieruchomości „Chrobry” Sp. z o.o.</v>
      </c>
      <c r="D9" s="973">
        <f>'Inwestycje i działania'!D59</f>
        <v>131.92371781651829</v>
      </c>
      <c r="E9" s="957">
        <f>'Inwestycje i działania'!E58</f>
        <v>44.642986109109792</v>
      </c>
      <c r="F9" s="957">
        <f>'Inwestycje i działania'!C58</f>
        <v>1580000</v>
      </c>
      <c r="G9" s="717">
        <v>4</v>
      </c>
      <c r="H9" s="717" t="s">
        <v>5</v>
      </c>
      <c r="I9" s="726" t="s">
        <v>5</v>
      </c>
      <c r="J9" s="727" t="s">
        <v>124</v>
      </c>
      <c r="K9" s="728"/>
      <c r="L9" s="728"/>
      <c r="M9" s="729">
        <f>E9+E39+E43</f>
        <v>941.43870531410982</v>
      </c>
      <c r="N9" s="729">
        <f>D9+D39+D43</f>
        <v>1166.2455319831849</v>
      </c>
    </row>
    <row r="10" spans="2:14" ht="23.4" customHeight="1" thickBot="1">
      <c r="B10" s="952"/>
      <c r="C10" s="956"/>
      <c r="D10" s="975"/>
      <c r="E10" s="976"/>
      <c r="F10" s="976"/>
      <c r="I10" s="726" t="s">
        <v>9</v>
      </c>
      <c r="J10" s="727" t="s">
        <v>131</v>
      </c>
      <c r="K10" s="728"/>
      <c r="L10" s="728"/>
      <c r="M10" s="729">
        <f>E11+E20+E22+E26+E32</f>
        <v>1084.1445243257408</v>
      </c>
      <c r="N10" s="729">
        <f>D11+D20+D22+D26+D32</f>
        <v>0</v>
      </c>
    </row>
    <row r="11" spans="2:14" ht="26.4" customHeight="1">
      <c r="B11" s="951">
        <v>3</v>
      </c>
      <c r="C11" s="948" t="str">
        <f>'Inwestycje i działania'!B62</f>
        <v>„Zielone” zamówienia publiczne</v>
      </c>
      <c r="D11" s="969">
        <f>'Inwestycje i działania'!D89</f>
        <v>0</v>
      </c>
      <c r="E11" s="953">
        <f>'Inwestycje i działania'!E89</f>
        <v>0</v>
      </c>
      <c r="F11" s="953">
        <f>'Inwestycje i działania'!C66</f>
        <v>0</v>
      </c>
      <c r="G11" s="717">
        <v>3</v>
      </c>
      <c r="H11" s="717" t="s">
        <v>9</v>
      </c>
      <c r="I11" s="726" t="s">
        <v>296</v>
      </c>
      <c r="J11" s="727" t="s">
        <v>73</v>
      </c>
      <c r="K11" s="728"/>
      <c r="L11" s="728"/>
      <c r="M11" s="729">
        <f>E24+E29+E34</f>
        <v>303.00177777546907</v>
      </c>
      <c r="N11" s="729">
        <f>D24+D29+D34</f>
        <v>0</v>
      </c>
    </row>
    <row r="12" spans="2:14" ht="63" customHeight="1" thickBot="1">
      <c r="B12" s="952"/>
      <c r="C12" s="950"/>
      <c r="D12" s="971"/>
      <c r="E12" s="954"/>
      <c r="F12" s="954"/>
      <c r="I12" s="726" t="s">
        <v>295</v>
      </c>
      <c r="J12" s="727" t="s">
        <v>39</v>
      </c>
      <c r="K12" s="728"/>
      <c r="L12" s="728"/>
      <c r="M12" s="729">
        <v>0</v>
      </c>
      <c r="N12" s="729">
        <v>0</v>
      </c>
    </row>
    <row r="13" spans="2:14" ht="28.8" customHeight="1">
      <c r="B13" s="951">
        <v>4</v>
      </c>
      <c r="C13" s="955" t="str">
        <f>'Inwestycje i działania'!B69</f>
        <v>Wymiana oświetlenia wewnętrznego na energooszczędne w budynkach jednostek podległych JST i innym instytucjom publicznym na terenie Gminy Szprotawa</v>
      </c>
      <c r="D13" s="957">
        <f>'Inwestycje i działania'!D75</f>
        <v>66.542999999999992</v>
      </c>
      <c r="E13" s="957">
        <f>'Inwestycje i działania'!E75</f>
        <v>59.223269999999999</v>
      </c>
      <c r="F13" s="957">
        <f>'Inwestycje i działania'!C75</f>
        <v>355000</v>
      </c>
      <c r="G13" s="717">
        <v>1</v>
      </c>
      <c r="H13" s="717" t="s">
        <v>297</v>
      </c>
      <c r="I13" s="726" t="s">
        <v>297</v>
      </c>
      <c r="J13" s="727" t="s">
        <v>102</v>
      </c>
      <c r="K13" s="728"/>
      <c r="L13" s="728"/>
      <c r="M13" s="729">
        <f>E7+E13+E18+E42</f>
        <v>802.40736900000013</v>
      </c>
      <c r="N13" s="729">
        <f>D7+D13+D18+D42</f>
        <v>1841.1354999999996</v>
      </c>
    </row>
    <row r="14" spans="2:14" ht="18.600000000000001" thickBot="1">
      <c r="B14" s="952"/>
      <c r="C14" s="956"/>
      <c r="D14" s="976"/>
      <c r="E14" s="976"/>
      <c r="F14" s="976"/>
      <c r="I14" s="726" t="s">
        <v>6</v>
      </c>
      <c r="J14" s="727" t="s">
        <v>132</v>
      </c>
      <c r="K14" s="728"/>
      <c r="L14" s="728"/>
      <c r="M14" s="730">
        <v>0</v>
      </c>
      <c r="N14" s="730">
        <v>0</v>
      </c>
    </row>
    <row r="15" spans="2:14">
      <c r="B15" s="951">
        <v>5</v>
      </c>
      <c r="C15" s="948" t="str">
        <f>'Inwestycje i działania'!B85</f>
        <v>Opracowanie Planów i Studiów Zagospodarowania Przestrzennego Gminy Szprotawa</v>
      </c>
      <c r="D15" s="953">
        <f>'Inwestycje i działania'!D89</f>
        <v>0</v>
      </c>
      <c r="E15" s="953">
        <f>'Inwestycje i działania'!E89</f>
        <v>0</v>
      </c>
      <c r="F15" s="953">
        <f>'Inwestycje i działania'!C89</f>
        <v>372700</v>
      </c>
      <c r="G15" s="717">
        <v>4</v>
      </c>
      <c r="H15" s="717" t="s">
        <v>4</v>
      </c>
      <c r="I15" s="728"/>
      <c r="J15" s="728"/>
      <c r="K15" s="728"/>
      <c r="L15" s="728"/>
      <c r="M15" s="728"/>
    </row>
    <row r="16" spans="2:14" ht="14.1">
      <c r="B16" s="968"/>
      <c r="C16" s="949"/>
      <c r="D16" s="959"/>
      <c r="E16" s="959"/>
      <c r="F16" s="959"/>
      <c r="M16" s="731">
        <f>SUM(M8:M15)</f>
        <v>5489.9484914901241</v>
      </c>
      <c r="N16" s="731">
        <f>SUM(N8:N15)</f>
        <v>8423.9864430131856</v>
      </c>
    </row>
    <row r="17" spans="2:13" ht="14.1" thickBot="1">
      <c r="B17" s="952"/>
      <c r="C17" s="950"/>
      <c r="D17" s="954"/>
      <c r="E17" s="954"/>
      <c r="F17" s="954"/>
    </row>
    <row r="18" spans="2:13" ht="25.2" customHeight="1">
      <c r="B18" s="951">
        <v>6</v>
      </c>
      <c r="C18" s="955" t="str">
        <f>'Inwestycje i działania'!K6</f>
        <v>Montaż prosumenckich mikroinstalacji fotowoltaicznych na budynkach użyteczności publicznej</v>
      </c>
      <c r="D18" s="973">
        <f>'Inwestycje i działania'!K48</f>
        <v>225.3</v>
      </c>
      <c r="E18" s="957">
        <f>'Inwestycje i działania'!L48</f>
        <v>200.51700000000005</v>
      </c>
      <c r="F18" s="957">
        <f>'Inwestycje i działania'!M48</f>
        <v>1324006.5</v>
      </c>
      <c r="G18" s="717">
        <v>1</v>
      </c>
      <c r="H18" s="717" t="s">
        <v>297</v>
      </c>
      <c r="M18" s="732"/>
    </row>
    <row r="19" spans="2:13" ht="18.600000000000001" customHeight="1" thickBot="1">
      <c r="B19" s="952"/>
      <c r="C19" s="956"/>
      <c r="D19" s="975"/>
      <c r="E19" s="976"/>
      <c r="F19" s="976"/>
    </row>
    <row r="20" spans="2:13" ht="30" customHeight="1">
      <c r="B20" s="951">
        <v>7</v>
      </c>
      <c r="C20" s="955" t="str">
        <f>'Inwestycje i działania'!B109</f>
        <v>Budowa ścieżek rowerowych na terenie Gminy Szprotawa</v>
      </c>
      <c r="D20" s="973">
        <f>'Inwestycje i działania'!D117</f>
        <v>0</v>
      </c>
      <c r="E20" s="957">
        <f>'Inwestycje i działania'!E117</f>
        <v>899.59187278144668</v>
      </c>
      <c r="F20" s="957">
        <f>'Inwestycje i działania'!C117</f>
        <v>3020000</v>
      </c>
      <c r="G20" s="717">
        <v>3</v>
      </c>
      <c r="H20" s="717" t="s">
        <v>9</v>
      </c>
    </row>
    <row r="21" spans="2:13" ht="14.1" thickBot="1">
      <c r="B21" s="952"/>
      <c r="C21" s="956"/>
      <c r="D21" s="975"/>
      <c r="E21" s="976"/>
      <c r="F21" s="976"/>
    </row>
    <row r="22" spans="2:13" ht="48.6" customHeight="1">
      <c r="B22" s="951">
        <v>8</v>
      </c>
      <c r="C22" s="948" t="str">
        <f>'Inwestycje i działania'!B122</f>
        <v>Budowa i modernizacja dróg lokalnych, wojewódzkich i krajowych na terenie Gminy Szprotawa</v>
      </c>
      <c r="D22" s="969">
        <f>'Inwestycje i działania'!D129</f>
        <v>0</v>
      </c>
      <c r="E22" s="953">
        <f>'Inwestycje i działania'!E129</f>
        <v>184.55265154429421</v>
      </c>
      <c r="F22" s="953">
        <f>'Inwestycje i działania'!C129</f>
        <v>22500000</v>
      </c>
      <c r="G22" s="717">
        <v>3</v>
      </c>
      <c r="H22" s="717" t="s">
        <v>9</v>
      </c>
    </row>
    <row r="23" spans="2:13" ht="22.2" customHeight="1" thickBot="1">
      <c r="B23" s="952"/>
      <c r="C23" s="950"/>
      <c r="D23" s="971"/>
      <c r="E23" s="954"/>
      <c r="F23" s="954"/>
    </row>
    <row r="24" spans="2:13" ht="25.2" customHeight="1">
      <c r="B24" s="951">
        <v>9</v>
      </c>
      <c r="C24" s="955" t="str">
        <f>'Inwestycje i działania'!B132</f>
        <v>Popularyzacja ruchu rowerowego i korzystania z publicznych środków transportu</v>
      </c>
      <c r="D24" s="973">
        <f>'Inwestycje i działania'!D136</f>
        <v>0</v>
      </c>
      <c r="E24" s="957">
        <f>'Inwestycje i działania'!E136</f>
        <v>0</v>
      </c>
      <c r="F24" s="957">
        <f>'Inwestycje i działania'!C136</f>
        <v>15000</v>
      </c>
      <c r="G24" s="717">
        <v>3</v>
      </c>
      <c r="H24" s="717" t="s">
        <v>296</v>
      </c>
    </row>
    <row r="25" spans="2:13" ht="14.1" thickBot="1">
      <c r="B25" s="952"/>
      <c r="C25" s="956"/>
      <c r="D25" s="975"/>
      <c r="E25" s="976"/>
      <c r="F25" s="976"/>
    </row>
    <row r="26" spans="2:13">
      <c r="B26" s="951">
        <v>10</v>
      </c>
      <c r="C26" s="948" t="str">
        <f>'Inwestycje i działania'!B138</f>
        <v>Popularyzacja i promowanie ekologicznych zachowań w zakresie transportu – w tym promocja pojazdów z napędem ekologicznym, elektrycznym oraz hybrydy</v>
      </c>
      <c r="D26" s="969">
        <f>'Inwestycje i działania'!D142</f>
        <v>0</v>
      </c>
      <c r="E26" s="953">
        <f>'Inwestycje i działania'!E142</f>
        <v>0</v>
      </c>
      <c r="F26" s="953">
        <f>'Inwestycje i działania'!C142</f>
        <v>15000</v>
      </c>
      <c r="G26" s="717">
        <v>3</v>
      </c>
      <c r="H26" s="717" t="s">
        <v>9</v>
      </c>
    </row>
    <row r="27" spans="2:13" ht="23.4" customHeight="1">
      <c r="B27" s="968"/>
      <c r="C27" s="949"/>
      <c r="D27" s="970"/>
      <c r="E27" s="959"/>
      <c r="F27" s="959"/>
    </row>
    <row r="28" spans="2:13" ht="14.1" thickBot="1">
      <c r="B28" s="952"/>
      <c r="C28" s="950"/>
      <c r="D28" s="971"/>
      <c r="E28" s="954"/>
      <c r="F28" s="954"/>
    </row>
    <row r="29" spans="2:13">
      <c r="B29" s="951">
        <v>11</v>
      </c>
      <c r="C29" s="955" t="str">
        <f>'Inwestycje i działania'!B145</f>
        <v>Modernizacja transportu ciężarowego prywatnego i komercyjnego</v>
      </c>
      <c r="D29" s="973">
        <f>'Inwestycje i działania'!D149</f>
        <v>0</v>
      </c>
      <c r="E29" s="957">
        <f>'Inwestycje i działania'!E149</f>
        <v>71.001777775469066</v>
      </c>
      <c r="F29" s="957">
        <f>'Inwestycje i działania'!C149</f>
        <v>13200000</v>
      </c>
      <c r="G29" s="717">
        <v>3</v>
      </c>
      <c r="H29" s="717" t="s">
        <v>296</v>
      </c>
    </row>
    <row r="30" spans="2:13" ht="18" customHeight="1">
      <c r="B30" s="968"/>
      <c r="C30" s="972"/>
      <c r="D30" s="974"/>
      <c r="E30" s="958"/>
      <c r="F30" s="958"/>
    </row>
    <row r="31" spans="2:13" ht="37.200000000000003" customHeight="1" thickBot="1">
      <c r="B31" s="952"/>
      <c r="C31" s="956"/>
      <c r="D31" s="975"/>
      <c r="E31" s="976"/>
      <c r="F31" s="976"/>
    </row>
    <row r="32" spans="2:13" ht="33.6" customHeight="1">
      <c r="B32" s="951">
        <v>12</v>
      </c>
      <c r="C32" s="948" t="str">
        <f>'Inwestycje i działania'!B155</f>
        <v>Wybór przewoźnika dla transportu, którego tabor wyposażony jest w ekologiczne jednostki napędowe</v>
      </c>
      <c r="D32" s="953">
        <f>'Inwestycje i działania'!D159</f>
        <v>0</v>
      </c>
      <c r="E32" s="953">
        <f>'Inwestycje i działania'!E159</f>
        <v>0</v>
      </c>
      <c r="F32" s="953">
        <f>'Inwestycje i działania'!C159</f>
        <v>0</v>
      </c>
      <c r="G32" s="717">
        <v>3</v>
      </c>
      <c r="H32" s="717" t="s">
        <v>9</v>
      </c>
    </row>
    <row r="33" spans="2:8" ht="39" customHeight="1" thickBot="1">
      <c r="B33" s="952"/>
      <c r="C33" s="950"/>
      <c r="D33" s="954"/>
      <c r="E33" s="954"/>
      <c r="F33" s="954"/>
    </row>
    <row r="34" spans="2:8" ht="70.2" customHeight="1" thickBot="1">
      <c r="B34" s="733">
        <v>13</v>
      </c>
      <c r="C34" s="734" t="str">
        <f>'Inwestycje i działania'!B162</f>
        <v>Tworzenie barier ekologicznych - nasadzenia drzew tlenowych o większym poziomie wchłaniania CO2</v>
      </c>
      <c r="D34" s="735">
        <f>'Inwestycje i działania'!D166</f>
        <v>0</v>
      </c>
      <c r="E34" s="735">
        <f>'Inwestycje i działania'!E166</f>
        <v>232</v>
      </c>
      <c r="F34" s="735">
        <f>'Inwestycje i działania'!C166</f>
        <v>50000</v>
      </c>
      <c r="G34" s="717">
        <v>3</v>
      </c>
      <c r="H34" s="717" t="s">
        <v>296</v>
      </c>
    </row>
    <row r="35" spans="2:8" ht="13.8" customHeight="1">
      <c r="B35" s="951" t="s">
        <v>652</v>
      </c>
      <c r="C35" s="948" t="s">
        <v>654</v>
      </c>
      <c r="D35" s="953">
        <f>'Inwestycje i działania'!E171</f>
        <v>4557.8589613499998</v>
      </c>
      <c r="E35" s="953">
        <f>'Inwestycje i działania'!F171</f>
        <v>1594.6717748596043</v>
      </c>
      <c r="F35" s="953">
        <f>'Inwestycje i działania'!C171</f>
        <v>10605000</v>
      </c>
      <c r="G35" s="717">
        <v>4</v>
      </c>
      <c r="H35" s="717" t="s">
        <v>4</v>
      </c>
    </row>
    <row r="36" spans="2:8" ht="13.8" customHeight="1">
      <c r="B36" s="968"/>
      <c r="C36" s="949"/>
      <c r="D36" s="959"/>
      <c r="E36" s="959"/>
      <c r="F36" s="959"/>
    </row>
    <row r="37" spans="2:8" ht="14.4" customHeight="1" thickBot="1">
      <c r="B37" s="952"/>
      <c r="C37" s="950"/>
      <c r="D37" s="954"/>
      <c r="E37" s="954"/>
      <c r="F37" s="954"/>
    </row>
    <row r="38" spans="2:8" ht="43.2" thickBot="1">
      <c r="B38" s="733" t="s">
        <v>651</v>
      </c>
      <c r="C38" s="736" t="s">
        <v>655</v>
      </c>
      <c r="D38" s="737">
        <f>'Inwestycje i działania'!E172</f>
        <v>768.74644968000007</v>
      </c>
      <c r="E38" s="737">
        <f>'Inwestycje i działania'!F172</f>
        <v>684.1843402152</v>
      </c>
      <c r="F38" s="737">
        <f>'Inwestycje i działania'!C172</f>
        <v>4545000</v>
      </c>
      <c r="G38" s="717">
        <v>1</v>
      </c>
      <c r="H38" s="717" t="s">
        <v>4</v>
      </c>
    </row>
    <row r="39" spans="2:8" ht="45.6" customHeight="1">
      <c r="B39" s="951">
        <v>15</v>
      </c>
      <c r="C39" s="964" t="str">
        <f>'Inwestycje i działania'!B177</f>
        <v>Zwiększenie efektywności energetycznej w budynkach wykorzystywanych na działalność przemysłową i pozostałą gospodarczą, jak również termomodernizacja źródeł ciepła, wraz ze zmianą źródła na bardziej efektywne pod względem energetycznym</v>
      </c>
      <c r="D39" s="966">
        <f>'Inwestycje i działania'!E181</f>
        <v>34.321814166666663</v>
      </c>
      <c r="E39" s="966">
        <f>'Inwestycje i działania'!F181</f>
        <v>6.7957192049999993</v>
      </c>
      <c r="F39" s="966">
        <f>'Inwestycje i działania'!C181</f>
        <v>1800000</v>
      </c>
      <c r="G39" s="717">
        <v>4</v>
      </c>
      <c r="H39" s="717" t="s">
        <v>5</v>
      </c>
    </row>
    <row r="40" spans="2:8" ht="45" customHeight="1" thickBot="1">
      <c r="B40" s="952"/>
      <c r="C40" s="965"/>
      <c r="D40" s="967"/>
      <c r="E40" s="967"/>
      <c r="F40" s="967"/>
    </row>
    <row r="41" spans="2:8" ht="29.1" thickBot="1">
      <c r="B41" s="738">
        <v>16</v>
      </c>
      <c r="C41" s="739" t="str">
        <f>'Inwestycje i działania'!B186</f>
        <v>Montaż prosumenckich mikroinstalacji fotowoltaicznych na dachach budynków do 3 kW</v>
      </c>
      <c r="D41" s="740">
        <f>'Inwestycje i działania'!D190</f>
        <v>90</v>
      </c>
      <c r="E41" s="740">
        <f>'Inwestycje i działania'!E190</f>
        <v>80.099999999999994</v>
      </c>
      <c r="F41" s="740">
        <f>'Inwestycje i działania'!C190</f>
        <v>540000</v>
      </c>
      <c r="G41" s="717">
        <v>1</v>
      </c>
      <c r="H41" s="717" t="s">
        <v>4</v>
      </c>
    </row>
    <row r="42" spans="2:8" ht="29.1" thickBot="1">
      <c r="B42" s="738">
        <v>17</v>
      </c>
      <c r="C42" s="741" t="str">
        <f>'Inwestycje i działania'!B196</f>
        <v>Montaż mikro/małych instalacji fotowoltaicznych o średniej mocy 20 kW</v>
      </c>
      <c r="D42" s="742">
        <f>'Inwestycje i działania'!D200</f>
        <v>240</v>
      </c>
      <c r="E42" s="742">
        <f>'Inwestycje i działania'!E200</f>
        <v>213.6</v>
      </c>
      <c r="F42" s="742">
        <f>'Inwestycje i działania'!C200</f>
        <v>1200000</v>
      </c>
      <c r="G42" s="717">
        <v>1</v>
      </c>
      <c r="H42" s="717" t="s">
        <v>297</v>
      </c>
    </row>
    <row r="43" spans="2:8" ht="14.7" thickBot="1">
      <c r="B43" s="738">
        <v>18</v>
      </c>
      <c r="C43" s="739" t="str">
        <f>'Inwestycje i działania'!B206</f>
        <v>Budowa elektrowni fotowoltaicznej o mocy 1 MW</v>
      </c>
      <c r="D43" s="740">
        <f>'Inwestycje i działania'!D210</f>
        <v>1000</v>
      </c>
      <c r="E43" s="740">
        <f>'Inwestycje i działania'!E210</f>
        <v>890</v>
      </c>
      <c r="F43" s="740">
        <f>'Inwestycje i działania'!C210</f>
        <v>5000000</v>
      </c>
      <c r="G43" s="717">
        <v>1</v>
      </c>
      <c r="H43" s="717" t="s">
        <v>5</v>
      </c>
    </row>
    <row r="44" spans="2:8" ht="14.4">
      <c r="B44" s="944" t="s">
        <v>7</v>
      </c>
      <c r="C44" s="945"/>
      <c r="D44" s="743">
        <f>SUM(D7:D43)</f>
        <v>8423.9864430131856</v>
      </c>
      <c r="E44" s="743">
        <f t="shared" ref="E44:F44" si="0">SUM(E7:E43)</f>
        <v>5489.948491490125</v>
      </c>
      <c r="F44" s="743">
        <f t="shared" si="0"/>
        <v>75966461.659999996</v>
      </c>
    </row>
    <row r="45" spans="2:8" ht="14.4">
      <c r="B45" s="944"/>
      <c r="C45" s="945"/>
      <c r="D45" s="744" t="s">
        <v>216</v>
      </c>
      <c r="E45" s="744" t="s">
        <v>199</v>
      </c>
      <c r="F45" s="744" t="s">
        <v>217</v>
      </c>
    </row>
    <row r="46" spans="2:8" ht="14.7" thickBot="1">
      <c r="B46" s="946"/>
      <c r="C46" s="947"/>
      <c r="D46" s="745"/>
      <c r="E46" s="746"/>
      <c r="F46" s="746"/>
    </row>
    <row r="47" spans="2:8" ht="14.4">
      <c r="B47" s="942"/>
      <c r="C47" s="943"/>
      <c r="D47" s="747">
        <f>CELE!E8</f>
        <v>8336.0723763919996</v>
      </c>
      <c r="E47" s="747">
        <f>CELE!E6</f>
        <v>5286.8198012056082</v>
      </c>
      <c r="F47" s="955"/>
    </row>
    <row r="48" spans="2:8" ht="14.7" thickBot="1">
      <c r="B48" s="946" t="s">
        <v>218</v>
      </c>
      <c r="C48" s="947"/>
      <c r="D48" s="748" t="s">
        <v>216</v>
      </c>
      <c r="E48" s="748" t="s">
        <v>199</v>
      </c>
      <c r="F48" s="956"/>
    </row>
    <row r="50" spans="2:5" ht="14.1" thickBot="1"/>
    <row r="51" spans="2:5" ht="43.2">
      <c r="B51" s="960" t="s">
        <v>164</v>
      </c>
      <c r="C51" s="962" t="s">
        <v>204</v>
      </c>
      <c r="D51" s="749" t="s">
        <v>219</v>
      </c>
      <c r="E51" s="943" t="s">
        <v>220</v>
      </c>
    </row>
    <row r="52" spans="2:5" ht="14.7" thickBot="1">
      <c r="B52" s="961"/>
      <c r="C52" s="963"/>
      <c r="D52" s="750" t="s">
        <v>221</v>
      </c>
      <c r="E52" s="947"/>
    </row>
    <row r="53" spans="2:5" ht="13.8" customHeight="1">
      <c r="B53" s="951">
        <v>1</v>
      </c>
      <c r="C53" s="948" t="str">
        <f>C18</f>
        <v>Montaż prosumenckich mikroinstalacji fotowoltaicznych na budynkach użyteczności publicznej</v>
      </c>
      <c r="D53" s="948">
        <f>D18</f>
        <v>225.3</v>
      </c>
      <c r="E53" s="953">
        <f>F18</f>
        <v>1324006.5</v>
      </c>
    </row>
    <row r="54" spans="2:5" ht="14.4" customHeight="1" thickBot="1">
      <c r="B54" s="952"/>
      <c r="C54" s="950"/>
      <c r="D54" s="950"/>
      <c r="E54" s="954"/>
    </row>
    <row r="55" spans="2:5" ht="20.399999999999999" customHeight="1">
      <c r="B55" s="951">
        <v>2</v>
      </c>
      <c r="C55" s="955" t="str">
        <f>C41</f>
        <v>Montaż prosumenckich mikroinstalacji fotowoltaicznych na dachach budynków do 3 kW</v>
      </c>
      <c r="D55" s="955">
        <f>D41</f>
        <v>90</v>
      </c>
      <c r="E55" s="957">
        <f>F41</f>
        <v>540000</v>
      </c>
    </row>
    <row r="56" spans="2:5" ht="22.2" customHeight="1" thickBot="1">
      <c r="B56" s="952"/>
      <c r="C56" s="956"/>
      <c r="D56" s="956"/>
      <c r="E56" s="958"/>
    </row>
    <row r="57" spans="2:5" ht="21" customHeight="1">
      <c r="B57" s="951">
        <v>3</v>
      </c>
      <c r="C57" s="948" t="str">
        <f>C42</f>
        <v>Montaż mikro/małych instalacji fotowoltaicznych o średniej mocy 20 kW</v>
      </c>
      <c r="D57" s="948">
        <f>D42</f>
        <v>240</v>
      </c>
      <c r="E57" s="959">
        <f>F42</f>
        <v>1200000</v>
      </c>
    </row>
    <row r="58" spans="2:5" ht="21" customHeight="1" thickBot="1">
      <c r="B58" s="952"/>
      <c r="C58" s="950"/>
      <c r="D58" s="950"/>
      <c r="E58" s="954"/>
    </row>
    <row r="59" spans="2:5" ht="14.7" thickBot="1">
      <c r="B59" s="751">
        <v>4</v>
      </c>
      <c r="C59" s="752" t="str">
        <f>C43</f>
        <v>Budowa elektrowni fotowoltaicznej o mocy 1 MW</v>
      </c>
      <c r="D59" s="753">
        <f>D43</f>
        <v>1000</v>
      </c>
      <c r="E59" s="753">
        <f>F43</f>
        <v>5000000</v>
      </c>
    </row>
    <row r="60" spans="2:5" ht="14.4">
      <c r="B60" s="942" t="s">
        <v>7</v>
      </c>
      <c r="C60" s="943"/>
      <c r="D60" s="747">
        <f>SUM(D53:D59)</f>
        <v>1555.3</v>
      </c>
      <c r="E60" s="747">
        <f>SUM(E53:E59)</f>
        <v>8064006.5</v>
      </c>
    </row>
    <row r="61" spans="2:5" ht="14.4">
      <c r="B61" s="944"/>
      <c r="C61" s="945"/>
      <c r="D61" s="754" t="s">
        <v>216</v>
      </c>
      <c r="E61" s="754" t="s">
        <v>200</v>
      </c>
    </row>
    <row r="62" spans="2:5" ht="14.7" thickBot="1">
      <c r="B62" s="946"/>
      <c r="C62" s="947"/>
      <c r="D62" s="748"/>
      <c r="E62" s="755"/>
    </row>
    <row r="63" spans="2:5" ht="14.4">
      <c r="B63" s="942" t="s">
        <v>222</v>
      </c>
      <c r="C63" s="943"/>
      <c r="D63" s="743">
        <f>CELE!E7</f>
        <v>1378.72420248</v>
      </c>
      <c r="E63" s="948"/>
    </row>
    <row r="64" spans="2:5" ht="14.4">
      <c r="B64" s="944"/>
      <c r="C64" s="945"/>
      <c r="D64" s="744" t="s">
        <v>216</v>
      </c>
      <c r="E64" s="949"/>
    </row>
    <row r="65" spans="2:5" ht="14.7" thickBot="1">
      <c r="B65" s="946"/>
      <c r="C65" s="947"/>
      <c r="D65" s="745"/>
      <c r="E65" s="950"/>
    </row>
  </sheetData>
  <mergeCells count="97">
    <mergeCell ref="B7:B8"/>
    <mergeCell ref="C7:C8"/>
    <mergeCell ref="D7:D8"/>
    <mergeCell ref="E7:E8"/>
    <mergeCell ref="F7:F8"/>
    <mergeCell ref="B4:B6"/>
    <mergeCell ref="C4:C6"/>
    <mergeCell ref="D4:D6"/>
    <mergeCell ref="E4:E6"/>
    <mergeCell ref="F4:F6"/>
    <mergeCell ref="B11:B12"/>
    <mergeCell ref="C11:C12"/>
    <mergeCell ref="D11:D12"/>
    <mergeCell ref="E11:E12"/>
    <mergeCell ref="F11:F12"/>
    <mergeCell ref="B9:B10"/>
    <mergeCell ref="C9:C10"/>
    <mergeCell ref="D9:D10"/>
    <mergeCell ref="E9:E10"/>
    <mergeCell ref="F9:F10"/>
    <mergeCell ref="B15:B17"/>
    <mergeCell ref="C15:C17"/>
    <mergeCell ref="D15:D17"/>
    <mergeCell ref="E15:E17"/>
    <mergeCell ref="F15:F17"/>
    <mergeCell ref="B13:B14"/>
    <mergeCell ref="C13:C14"/>
    <mergeCell ref="D13:D14"/>
    <mergeCell ref="E13:E14"/>
    <mergeCell ref="F13:F14"/>
    <mergeCell ref="B20:B21"/>
    <mergeCell ref="C20:C21"/>
    <mergeCell ref="D20:D21"/>
    <mergeCell ref="E20:E21"/>
    <mergeCell ref="F20:F21"/>
    <mergeCell ref="B18:B19"/>
    <mergeCell ref="C18:C19"/>
    <mergeCell ref="D18:D19"/>
    <mergeCell ref="E18:E19"/>
    <mergeCell ref="F18:F19"/>
    <mergeCell ref="B24:B25"/>
    <mergeCell ref="C24:C25"/>
    <mergeCell ref="D24:D25"/>
    <mergeCell ref="E24:E25"/>
    <mergeCell ref="F24:F25"/>
    <mergeCell ref="B22:B23"/>
    <mergeCell ref="C22:C23"/>
    <mergeCell ref="D22:D23"/>
    <mergeCell ref="E22:E23"/>
    <mergeCell ref="F22:F23"/>
    <mergeCell ref="B29:B31"/>
    <mergeCell ref="C29:C31"/>
    <mergeCell ref="D29:D31"/>
    <mergeCell ref="E29:E31"/>
    <mergeCell ref="F29:F31"/>
    <mergeCell ref="B26:B28"/>
    <mergeCell ref="C26:C28"/>
    <mergeCell ref="D26:D28"/>
    <mergeCell ref="E26:E28"/>
    <mergeCell ref="F26:F28"/>
    <mergeCell ref="B35:B37"/>
    <mergeCell ref="C35:C37"/>
    <mergeCell ref="D35:D37"/>
    <mergeCell ref="E35:E37"/>
    <mergeCell ref="F35:F37"/>
    <mergeCell ref="B32:B33"/>
    <mergeCell ref="C32:C33"/>
    <mergeCell ref="D32:D33"/>
    <mergeCell ref="E32:E33"/>
    <mergeCell ref="F32:F33"/>
    <mergeCell ref="B39:B40"/>
    <mergeCell ref="C39:C40"/>
    <mergeCell ref="D39:D40"/>
    <mergeCell ref="E39:E40"/>
    <mergeCell ref="F39:F40"/>
    <mergeCell ref="B44:C46"/>
    <mergeCell ref="B47:C47"/>
    <mergeCell ref="F47:F48"/>
    <mergeCell ref="B48:C48"/>
    <mergeCell ref="B51:B52"/>
    <mergeCell ref="C51:C52"/>
    <mergeCell ref="E51:E52"/>
    <mergeCell ref="B63:C65"/>
    <mergeCell ref="E63:E65"/>
    <mergeCell ref="B53:B54"/>
    <mergeCell ref="C53:C54"/>
    <mergeCell ref="D53:D54"/>
    <mergeCell ref="E53:E54"/>
    <mergeCell ref="B55:B56"/>
    <mergeCell ref="C55:C56"/>
    <mergeCell ref="D55:D56"/>
    <mergeCell ref="E55:E56"/>
    <mergeCell ref="E57:E58"/>
    <mergeCell ref="D57:D58"/>
    <mergeCell ref="B57:B58"/>
    <mergeCell ref="C57:C58"/>
    <mergeCell ref="B60:C62"/>
  </mergeCells>
  <pageMargins left="0.7" right="0.7" top="0.75" bottom="0.75" header="0.3" footer="0.3"/>
  <pageSetup paperSize="9" scale="72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L2046"/>
  <sheetViews>
    <sheetView view="pageBreakPreview" topLeftCell="A2008" zoomScaleNormal="100" zoomScaleSheetLayoutView="100" workbookViewId="0">
      <selection activeCell="D2043" sqref="D2043"/>
    </sheetView>
  </sheetViews>
  <sheetFormatPr defaultColWidth="8.80859375" defaultRowHeight="10.5"/>
  <cols>
    <col min="1" max="1" width="8.80859375" style="571"/>
    <col min="2" max="2" width="12.7109375" style="571" customWidth="1"/>
    <col min="3" max="3" width="16.28515625" style="571" customWidth="1"/>
    <col min="4" max="4" width="11.6171875" style="571" customWidth="1"/>
    <col min="5" max="5" width="11" style="571" customWidth="1"/>
    <col min="6" max="6" width="10.7109375" style="571" customWidth="1"/>
    <col min="7" max="7" width="16.90234375" style="571" customWidth="1"/>
    <col min="8" max="8" width="13.80859375" style="571" customWidth="1"/>
    <col min="9" max="9" width="35.80859375" style="572" customWidth="1"/>
    <col min="10" max="10" width="29.28515625" style="572" customWidth="1"/>
    <col min="11" max="16384" width="8.80859375" style="373"/>
  </cols>
  <sheetData>
    <row r="1" spans="1:12" ht="10.8" thickBot="1"/>
    <row r="2" spans="1:12" ht="10.8" thickBot="1">
      <c r="A2" s="787" t="s">
        <v>275</v>
      </c>
      <c r="B2" s="788"/>
      <c r="C2" s="788"/>
      <c r="D2" s="788"/>
      <c r="E2" s="788"/>
      <c r="F2" s="788"/>
      <c r="G2" s="788"/>
      <c r="H2" s="788"/>
      <c r="I2" s="788"/>
      <c r="J2" s="789"/>
    </row>
    <row r="3" spans="1:12">
      <c r="A3" s="573"/>
      <c r="C3" s="573"/>
      <c r="D3" s="573"/>
      <c r="E3" s="573"/>
      <c r="F3" s="573"/>
      <c r="G3" s="573"/>
      <c r="H3" s="573"/>
      <c r="I3" s="574"/>
      <c r="J3" s="574"/>
    </row>
    <row r="4" spans="1:12" ht="10.8" thickBot="1">
      <c r="A4" s="786" t="s">
        <v>260</v>
      </c>
      <c r="B4" s="786"/>
      <c r="C4" s="786"/>
      <c r="D4" s="786"/>
      <c r="E4" s="786"/>
      <c r="F4" s="786"/>
      <c r="G4" s="786"/>
      <c r="H4" s="786"/>
      <c r="I4" s="786"/>
      <c r="J4" s="786"/>
    </row>
    <row r="5" spans="1:12" ht="21">
      <c r="A5" s="575" t="s">
        <v>261</v>
      </c>
      <c r="B5" s="576" t="s">
        <v>262</v>
      </c>
      <c r="C5" s="576" t="s">
        <v>263</v>
      </c>
      <c r="D5" s="576" t="s">
        <v>264</v>
      </c>
      <c r="E5" s="576" t="s">
        <v>265</v>
      </c>
      <c r="F5" s="576" t="s">
        <v>266</v>
      </c>
      <c r="G5" s="576" t="s">
        <v>267</v>
      </c>
      <c r="H5" s="576" t="s">
        <v>274</v>
      </c>
      <c r="I5" s="576" t="s">
        <v>268</v>
      </c>
      <c r="J5" s="577" t="s">
        <v>269</v>
      </c>
    </row>
    <row r="6" spans="1:12">
      <c r="A6" s="569">
        <v>1</v>
      </c>
      <c r="B6" s="595" t="s">
        <v>277</v>
      </c>
      <c r="C6" s="595" t="s">
        <v>462</v>
      </c>
      <c r="D6" s="595">
        <v>1890</v>
      </c>
      <c r="E6" s="595">
        <v>278</v>
      </c>
      <c r="F6" s="595">
        <v>17</v>
      </c>
      <c r="G6" s="595" t="s">
        <v>286</v>
      </c>
      <c r="H6" s="596">
        <v>7.7980364656381491</v>
      </c>
      <c r="I6" s="597" t="s">
        <v>463</v>
      </c>
      <c r="J6" s="598" t="s">
        <v>288</v>
      </c>
      <c r="K6" s="563"/>
      <c r="L6" s="373">
        <v>1</v>
      </c>
    </row>
    <row r="7" spans="1:12">
      <c r="A7" s="569">
        <v>2</v>
      </c>
      <c r="B7" s="595" t="s">
        <v>277</v>
      </c>
      <c r="C7" s="595" t="s">
        <v>462</v>
      </c>
      <c r="D7" s="595">
        <v>1840</v>
      </c>
      <c r="E7" s="595">
        <v>250</v>
      </c>
      <c r="F7" s="595">
        <v>14</v>
      </c>
      <c r="G7" s="595" t="s">
        <v>286</v>
      </c>
      <c r="H7" s="596">
        <v>7.0126227208976157</v>
      </c>
      <c r="I7" s="597" t="s">
        <v>288</v>
      </c>
      <c r="J7" s="598" t="s">
        <v>288</v>
      </c>
      <c r="L7" s="373">
        <v>1</v>
      </c>
    </row>
    <row r="8" spans="1:12">
      <c r="A8" s="569">
        <v>3</v>
      </c>
      <c r="B8" s="595" t="s">
        <v>277</v>
      </c>
      <c r="C8" s="595" t="s">
        <v>462</v>
      </c>
      <c r="D8" s="595">
        <v>1898</v>
      </c>
      <c r="E8" s="595">
        <v>279</v>
      </c>
      <c r="F8" s="595">
        <v>10</v>
      </c>
      <c r="G8" s="595" t="s">
        <v>286</v>
      </c>
      <c r="H8" s="596">
        <v>7.8260869565217392</v>
      </c>
      <c r="I8" s="597" t="s">
        <v>464</v>
      </c>
      <c r="J8" s="598" t="s">
        <v>288</v>
      </c>
      <c r="L8" s="373">
        <v>1</v>
      </c>
    </row>
    <row r="9" spans="1:12">
      <c r="A9" s="569">
        <v>4</v>
      </c>
      <c r="B9" s="595" t="s">
        <v>277</v>
      </c>
      <c r="C9" s="595" t="s">
        <v>462</v>
      </c>
      <c r="D9" s="595">
        <v>1909</v>
      </c>
      <c r="E9" s="595">
        <v>394</v>
      </c>
      <c r="F9" s="595">
        <v>10</v>
      </c>
      <c r="G9" s="595" t="s">
        <v>286</v>
      </c>
      <c r="H9" s="596">
        <v>11.051893408134642</v>
      </c>
      <c r="I9" s="597" t="s">
        <v>464</v>
      </c>
      <c r="J9" s="598" t="s">
        <v>288</v>
      </c>
      <c r="L9" s="373">
        <v>1</v>
      </c>
    </row>
    <row r="10" spans="1:12">
      <c r="A10" s="569">
        <v>5</v>
      </c>
      <c r="B10" s="595" t="s">
        <v>277</v>
      </c>
      <c r="C10" s="595" t="s">
        <v>462</v>
      </c>
      <c r="D10" s="595">
        <v>1933</v>
      </c>
      <c r="E10" s="595">
        <v>353</v>
      </c>
      <c r="F10" s="595">
        <v>11</v>
      </c>
      <c r="G10" s="595" t="s">
        <v>286</v>
      </c>
      <c r="H10" s="596">
        <v>9.9018232819074345</v>
      </c>
      <c r="I10" s="597" t="s">
        <v>464</v>
      </c>
      <c r="J10" s="598" t="s">
        <v>288</v>
      </c>
      <c r="L10" s="373">
        <v>1</v>
      </c>
    </row>
    <row r="11" spans="1:12">
      <c r="A11" s="569">
        <v>6</v>
      </c>
      <c r="B11" s="595" t="s">
        <v>277</v>
      </c>
      <c r="C11" s="595" t="s">
        <v>462</v>
      </c>
      <c r="D11" s="595">
        <v>1935</v>
      </c>
      <c r="E11" s="595">
        <v>360</v>
      </c>
      <c r="F11" s="595">
        <v>12</v>
      </c>
      <c r="G11" s="595" t="s">
        <v>286</v>
      </c>
      <c r="H11" s="596">
        <v>10.098176718092567</v>
      </c>
      <c r="I11" s="597" t="s">
        <v>464</v>
      </c>
      <c r="J11" s="598" t="s">
        <v>288</v>
      </c>
      <c r="L11" s="373">
        <v>1</v>
      </c>
    </row>
    <row r="12" spans="1:12">
      <c r="A12" s="565">
        <v>7</v>
      </c>
      <c r="B12" s="560" t="s">
        <v>277</v>
      </c>
      <c r="C12" s="560" t="s">
        <v>462</v>
      </c>
      <c r="D12" s="560">
        <v>1900</v>
      </c>
      <c r="E12" s="560">
        <v>390</v>
      </c>
      <c r="F12" s="560">
        <v>15</v>
      </c>
      <c r="G12" s="560" t="s">
        <v>286</v>
      </c>
      <c r="H12" s="566">
        <v>10.939691444600282</v>
      </c>
      <c r="I12" s="567" t="s">
        <v>464</v>
      </c>
      <c r="J12" s="568" t="s">
        <v>288</v>
      </c>
      <c r="L12" s="373">
        <v>1</v>
      </c>
    </row>
    <row r="13" spans="1:12">
      <c r="A13" s="565">
        <v>8</v>
      </c>
      <c r="B13" s="560" t="s">
        <v>277</v>
      </c>
      <c r="C13" s="560" t="s">
        <v>462</v>
      </c>
      <c r="D13" s="560">
        <v>1900</v>
      </c>
      <c r="E13" s="560">
        <v>340</v>
      </c>
      <c r="F13" s="560">
        <v>19</v>
      </c>
      <c r="G13" s="560" t="s">
        <v>286</v>
      </c>
      <c r="H13" s="566">
        <v>9.5371669004207575</v>
      </c>
      <c r="I13" s="567" t="s">
        <v>464</v>
      </c>
      <c r="J13" s="568" t="s">
        <v>288</v>
      </c>
      <c r="L13" s="373">
        <v>1</v>
      </c>
    </row>
    <row r="14" spans="1:12">
      <c r="A14" s="565">
        <v>9</v>
      </c>
      <c r="B14" s="560" t="s">
        <v>277</v>
      </c>
      <c r="C14" s="560" t="s">
        <v>462</v>
      </c>
      <c r="D14" s="560">
        <v>1903</v>
      </c>
      <c r="E14" s="560">
        <v>350</v>
      </c>
      <c r="F14" s="560">
        <v>10</v>
      </c>
      <c r="G14" s="560" t="s">
        <v>286</v>
      </c>
      <c r="H14" s="566">
        <v>9.8176718092566624</v>
      </c>
      <c r="I14" s="567" t="s">
        <v>464</v>
      </c>
      <c r="J14" s="568" t="s">
        <v>288</v>
      </c>
      <c r="L14" s="373">
        <v>1</v>
      </c>
    </row>
    <row r="15" spans="1:12">
      <c r="A15" s="565">
        <v>10</v>
      </c>
      <c r="B15" s="560" t="s">
        <v>277</v>
      </c>
      <c r="C15" s="560" t="s">
        <v>462</v>
      </c>
      <c r="D15" s="560">
        <v>1883</v>
      </c>
      <c r="E15" s="560">
        <v>177</v>
      </c>
      <c r="F15" s="560">
        <v>11</v>
      </c>
      <c r="G15" s="560" t="s">
        <v>286</v>
      </c>
      <c r="H15" s="566">
        <v>4.9649368863955123</v>
      </c>
      <c r="I15" s="567" t="s">
        <v>464</v>
      </c>
      <c r="J15" s="568" t="s">
        <v>288</v>
      </c>
      <c r="L15" s="373">
        <v>1</v>
      </c>
    </row>
    <row r="16" spans="1:12">
      <c r="A16" s="565">
        <v>11</v>
      </c>
      <c r="B16" s="560" t="s">
        <v>277</v>
      </c>
      <c r="C16" s="560" t="s">
        <v>462</v>
      </c>
      <c r="D16" s="560">
        <v>1963</v>
      </c>
      <c r="E16" s="560">
        <v>776</v>
      </c>
      <c r="F16" s="560">
        <v>21</v>
      </c>
      <c r="G16" s="560" t="s">
        <v>286</v>
      </c>
      <c r="H16" s="566">
        <v>21.767180925666199</v>
      </c>
      <c r="I16" s="567" t="s">
        <v>464</v>
      </c>
      <c r="J16" s="568" t="s">
        <v>288</v>
      </c>
      <c r="L16" s="373">
        <v>1</v>
      </c>
    </row>
    <row r="17" spans="1:12">
      <c r="A17" s="565">
        <v>12</v>
      </c>
      <c r="B17" s="560" t="s">
        <v>277</v>
      </c>
      <c r="C17" s="560" t="s">
        <v>462</v>
      </c>
      <c r="D17" s="560">
        <v>1870</v>
      </c>
      <c r="E17" s="560">
        <v>405</v>
      </c>
      <c r="F17" s="560">
        <v>28</v>
      </c>
      <c r="G17" s="560" t="s">
        <v>286</v>
      </c>
      <c r="H17" s="566">
        <v>11.360448807854137</v>
      </c>
      <c r="I17" s="567" t="s">
        <v>464</v>
      </c>
      <c r="J17" s="568" t="s">
        <v>288</v>
      </c>
      <c r="L17" s="373">
        <v>1</v>
      </c>
    </row>
    <row r="18" spans="1:12">
      <c r="A18" s="565">
        <v>13</v>
      </c>
      <c r="B18" s="560" t="s">
        <v>277</v>
      </c>
      <c r="C18" s="560" t="s">
        <v>462</v>
      </c>
      <c r="D18" s="560">
        <v>1963</v>
      </c>
      <c r="E18" s="560">
        <v>754</v>
      </c>
      <c r="F18" s="560">
        <v>31</v>
      </c>
      <c r="G18" s="560" t="s">
        <v>286</v>
      </c>
      <c r="H18" s="566">
        <v>21.150070126227209</v>
      </c>
      <c r="I18" s="567" t="s">
        <v>464</v>
      </c>
      <c r="J18" s="568" t="s">
        <v>288</v>
      </c>
      <c r="L18" s="373">
        <v>1</v>
      </c>
    </row>
    <row r="19" spans="1:12">
      <c r="A19" s="565">
        <v>14</v>
      </c>
      <c r="B19" s="560" t="s">
        <v>277</v>
      </c>
      <c r="C19" s="560" t="s">
        <v>462</v>
      </c>
      <c r="D19" s="560">
        <v>1963</v>
      </c>
      <c r="E19" s="560">
        <v>714</v>
      </c>
      <c r="F19" s="560">
        <v>18</v>
      </c>
      <c r="G19" s="560" t="s">
        <v>286</v>
      </c>
      <c r="H19" s="566">
        <v>20.02805049088359</v>
      </c>
      <c r="I19" s="567" t="s">
        <v>464</v>
      </c>
      <c r="J19" s="568" t="s">
        <v>288</v>
      </c>
      <c r="L19" s="373">
        <v>1</v>
      </c>
    </row>
    <row r="20" spans="1:12">
      <c r="A20" s="565">
        <v>15</v>
      </c>
      <c r="B20" s="560" t="s">
        <v>277</v>
      </c>
      <c r="C20" s="560" t="s">
        <v>462</v>
      </c>
      <c r="D20" s="560">
        <v>1963</v>
      </c>
      <c r="E20" s="560">
        <v>715</v>
      </c>
      <c r="F20" s="560">
        <v>21</v>
      </c>
      <c r="G20" s="560" t="s">
        <v>286</v>
      </c>
      <c r="H20" s="566">
        <v>20.05610098176718</v>
      </c>
      <c r="I20" s="567" t="s">
        <v>464</v>
      </c>
      <c r="J20" s="568" t="s">
        <v>288</v>
      </c>
      <c r="L20" s="373">
        <v>1</v>
      </c>
    </row>
    <row r="21" spans="1:12">
      <c r="A21" s="565">
        <v>16</v>
      </c>
      <c r="B21" s="560" t="s">
        <v>277</v>
      </c>
      <c r="C21" s="560" t="s">
        <v>462</v>
      </c>
      <c r="D21" s="560">
        <v>1890</v>
      </c>
      <c r="E21" s="560">
        <v>289</v>
      </c>
      <c r="F21" s="560">
        <v>16</v>
      </c>
      <c r="G21" s="560" t="s">
        <v>286</v>
      </c>
      <c r="H21" s="566">
        <v>8.1065918653576432</v>
      </c>
      <c r="I21" s="567" t="s">
        <v>464</v>
      </c>
      <c r="J21" s="568" t="s">
        <v>288</v>
      </c>
      <c r="L21" s="373">
        <v>1</v>
      </c>
    </row>
    <row r="22" spans="1:12">
      <c r="A22" s="565">
        <v>17</v>
      </c>
      <c r="B22" s="560" t="s">
        <v>277</v>
      </c>
      <c r="C22" s="560" t="s">
        <v>462</v>
      </c>
      <c r="D22" s="560">
        <v>1942</v>
      </c>
      <c r="E22" s="560">
        <v>300</v>
      </c>
      <c r="F22" s="560">
        <v>9</v>
      </c>
      <c r="G22" s="560" t="s">
        <v>286</v>
      </c>
      <c r="H22" s="566">
        <v>8.4151472650771399</v>
      </c>
      <c r="I22" s="567" t="s">
        <v>464</v>
      </c>
      <c r="J22" s="568" t="s">
        <v>288</v>
      </c>
      <c r="L22" s="373">
        <v>1</v>
      </c>
    </row>
    <row r="23" spans="1:12">
      <c r="A23" s="565">
        <v>18</v>
      </c>
      <c r="B23" s="560" t="s">
        <v>277</v>
      </c>
      <c r="C23" s="560" t="s">
        <v>462</v>
      </c>
      <c r="D23" s="560">
        <v>1907</v>
      </c>
      <c r="E23" s="560">
        <v>150</v>
      </c>
      <c r="F23" s="560">
        <v>12</v>
      </c>
      <c r="G23" s="560" t="s">
        <v>286</v>
      </c>
      <c r="H23" s="566">
        <v>4.20757363253857</v>
      </c>
      <c r="I23" s="567" t="s">
        <v>464</v>
      </c>
      <c r="J23" s="568" t="s">
        <v>288</v>
      </c>
      <c r="L23" s="373">
        <v>1</v>
      </c>
    </row>
    <row r="24" spans="1:12">
      <c r="A24" s="565">
        <v>19</v>
      </c>
      <c r="B24" s="560" t="s">
        <v>277</v>
      </c>
      <c r="C24" s="560" t="s">
        <v>462</v>
      </c>
      <c r="D24" s="560">
        <v>1912</v>
      </c>
      <c r="E24" s="560">
        <v>312</v>
      </c>
      <c r="F24" s="560">
        <v>9</v>
      </c>
      <c r="G24" s="560" t="s">
        <v>286</v>
      </c>
      <c r="H24" s="566">
        <v>8.751753155680225</v>
      </c>
      <c r="I24" s="567" t="s">
        <v>464</v>
      </c>
      <c r="J24" s="568" t="s">
        <v>288</v>
      </c>
      <c r="L24" s="373">
        <v>1</v>
      </c>
    </row>
    <row r="25" spans="1:12">
      <c r="A25" s="565">
        <v>20</v>
      </c>
      <c r="B25" s="560" t="s">
        <v>277</v>
      </c>
      <c r="C25" s="560" t="s">
        <v>462</v>
      </c>
      <c r="D25" s="560">
        <v>1916</v>
      </c>
      <c r="E25" s="560">
        <v>391</v>
      </c>
      <c r="F25" s="560">
        <v>11</v>
      </c>
      <c r="G25" s="560" t="s">
        <v>286</v>
      </c>
      <c r="H25" s="566">
        <v>10.967741935483872</v>
      </c>
      <c r="I25" s="567" t="s">
        <v>464</v>
      </c>
      <c r="J25" s="568" t="s">
        <v>288</v>
      </c>
      <c r="L25" s="373">
        <v>1</v>
      </c>
    </row>
    <row r="26" spans="1:12">
      <c r="A26" s="565">
        <v>21</v>
      </c>
      <c r="B26" s="560" t="s">
        <v>277</v>
      </c>
      <c r="C26" s="560" t="s">
        <v>462</v>
      </c>
      <c r="D26" s="560">
        <v>1923</v>
      </c>
      <c r="E26" s="560">
        <v>601</v>
      </c>
      <c r="F26" s="560">
        <v>22</v>
      </c>
      <c r="G26" s="560" t="s">
        <v>286</v>
      </c>
      <c r="H26" s="566">
        <v>16.85834502103787</v>
      </c>
      <c r="I26" s="567" t="s">
        <v>464</v>
      </c>
      <c r="J26" s="568" t="s">
        <v>288</v>
      </c>
      <c r="L26" s="373">
        <v>1</v>
      </c>
    </row>
    <row r="27" spans="1:12">
      <c r="A27" s="565">
        <v>22</v>
      </c>
      <c r="B27" s="560" t="s">
        <v>277</v>
      </c>
      <c r="C27" s="560" t="s">
        <v>462</v>
      </c>
      <c r="D27" s="560">
        <v>1959</v>
      </c>
      <c r="E27" s="560">
        <v>314</v>
      </c>
      <c r="F27" s="560">
        <v>16</v>
      </c>
      <c r="G27" s="560" t="s">
        <v>286</v>
      </c>
      <c r="H27" s="566">
        <v>8.8078541374474053</v>
      </c>
      <c r="I27" s="567" t="s">
        <v>464</v>
      </c>
      <c r="J27" s="568" t="s">
        <v>288</v>
      </c>
      <c r="L27" s="373">
        <v>1</v>
      </c>
    </row>
    <row r="28" spans="1:12">
      <c r="A28" s="565">
        <v>23</v>
      </c>
      <c r="B28" s="560" t="s">
        <v>277</v>
      </c>
      <c r="C28" s="560" t="s">
        <v>462</v>
      </c>
      <c r="D28" s="560">
        <v>1929</v>
      </c>
      <c r="E28" s="560">
        <v>210</v>
      </c>
      <c r="F28" s="560">
        <v>8</v>
      </c>
      <c r="G28" s="560" t="s">
        <v>286</v>
      </c>
      <c r="H28" s="566">
        <v>5.8906030855539973</v>
      </c>
      <c r="I28" s="567" t="s">
        <v>464</v>
      </c>
      <c r="J28" s="568" t="s">
        <v>288</v>
      </c>
      <c r="L28" s="373">
        <v>1</v>
      </c>
    </row>
    <row r="29" spans="1:12">
      <c r="A29" s="565">
        <v>24</v>
      </c>
      <c r="B29" s="560" t="s">
        <v>277</v>
      </c>
      <c r="C29" s="560" t="s">
        <v>462</v>
      </c>
      <c r="D29" s="560">
        <v>1890</v>
      </c>
      <c r="E29" s="560">
        <v>312</v>
      </c>
      <c r="F29" s="560">
        <v>14</v>
      </c>
      <c r="G29" s="560" t="s">
        <v>286</v>
      </c>
      <c r="H29" s="566">
        <v>8.751753155680225</v>
      </c>
      <c r="I29" s="567" t="s">
        <v>464</v>
      </c>
      <c r="J29" s="568" t="s">
        <v>288</v>
      </c>
      <c r="L29" s="373">
        <v>1</v>
      </c>
    </row>
    <row r="30" spans="1:12">
      <c r="A30" s="565">
        <v>25</v>
      </c>
      <c r="B30" s="560" t="s">
        <v>277</v>
      </c>
      <c r="C30" s="560" t="s">
        <v>462</v>
      </c>
      <c r="D30" s="560">
        <v>1938</v>
      </c>
      <c r="E30" s="560">
        <v>450</v>
      </c>
      <c r="F30" s="560">
        <v>16</v>
      </c>
      <c r="G30" s="560" t="s">
        <v>286</v>
      </c>
      <c r="H30" s="566">
        <v>12.622720897615709</v>
      </c>
      <c r="I30" s="567" t="s">
        <v>464</v>
      </c>
      <c r="J30" s="568" t="s">
        <v>288</v>
      </c>
      <c r="L30" s="373">
        <v>1</v>
      </c>
    </row>
    <row r="31" spans="1:12">
      <c r="A31" s="565">
        <v>26</v>
      </c>
      <c r="B31" s="560" t="s">
        <v>277</v>
      </c>
      <c r="C31" s="560" t="s">
        <v>462</v>
      </c>
      <c r="D31" s="560">
        <v>1938</v>
      </c>
      <c r="E31" s="560">
        <v>692</v>
      </c>
      <c r="F31" s="560">
        <v>24</v>
      </c>
      <c r="G31" s="560" t="s">
        <v>286</v>
      </c>
      <c r="H31" s="566">
        <v>19.4109396914446</v>
      </c>
      <c r="I31" s="567" t="s">
        <v>464</v>
      </c>
      <c r="J31" s="568" t="s">
        <v>288</v>
      </c>
      <c r="L31" s="373">
        <v>1</v>
      </c>
    </row>
    <row r="32" spans="1:12">
      <c r="A32" s="565">
        <v>27</v>
      </c>
      <c r="B32" s="560" t="s">
        <v>277</v>
      </c>
      <c r="C32" s="560" t="s">
        <v>462</v>
      </c>
      <c r="D32" s="560">
        <v>1938</v>
      </c>
      <c r="E32" s="560">
        <v>460</v>
      </c>
      <c r="F32" s="560">
        <v>18</v>
      </c>
      <c r="G32" s="560" t="s">
        <v>286</v>
      </c>
      <c r="H32" s="566">
        <v>12.903225806451614</v>
      </c>
      <c r="I32" s="567" t="s">
        <v>464</v>
      </c>
      <c r="J32" s="568" t="s">
        <v>288</v>
      </c>
      <c r="L32" s="373">
        <v>1</v>
      </c>
    </row>
    <row r="33" spans="1:12">
      <c r="A33" s="565">
        <v>28</v>
      </c>
      <c r="B33" s="560" t="s">
        <v>277</v>
      </c>
      <c r="C33" s="560" t="s">
        <v>462</v>
      </c>
      <c r="D33" s="560">
        <v>1934</v>
      </c>
      <c r="E33" s="560">
        <v>466</v>
      </c>
      <c r="F33" s="560">
        <v>17</v>
      </c>
      <c r="G33" s="560" t="s">
        <v>286</v>
      </c>
      <c r="H33" s="566">
        <v>13.071528751753156</v>
      </c>
      <c r="I33" s="567" t="s">
        <v>464</v>
      </c>
      <c r="J33" s="568" t="s">
        <v>288</v>
      </c>
      <c r="L33" s="373">
        <v>1</v>
      </c>
    </row>
    <row r="34" spans="1:12">
      <c r="A34" s="565">
        <v>29</v>
      </c>
      <c r="B34" s="560" t="s">
        <v>277</v>
      </c>
      <c r="C34" s="560" t="s">
        <v>462</v>
      </c>
      <c r="D34" s="560">
        <v>1906</v>
      </c>
      <c r="E34" s="560">
        <v>300</v>
      </c>
      <c r="F34" s="560">
        <v>10</v>
      </c>
      <c r="G34" s="560" t="s">
        <v>286</v>
      </c>
      <c r="H34" s="566">
        <v>8.4151472650771399</v>
      </c>
      <c r="I34" s="567" t="s">
        <v>464</v>
      </c>
      <c r="J34" s="568" t="s">
        <v>288</v>
      </c>
      <c r="L34" s="373">
        <v>1</v>
      </c>
    </row>
    <row r="35" spans="1:12">
      <c r="A35" s="565">
        <v>30</v>
      </c>
      <c r="B35" s="560" t="s">
        <v>277</v>
      </c>
      <c r="C35" s="560" t="s">
        <v>462</v>
      </c>
      <c r="D35" s="560">
        <v>1899</v>
      </c>
      <c r="E35" s="560">
        <v>321</v>
      </c>
      <c r="F35" s="560">
        <v>8</v>
      </c>
      <c r="G35" s="560" t="s">
        <v>286</v>
      </c>
      <c r="H35" s="566">
        <v>9.0042075736325398</v>
      </c>
      <c r="I35" s="567" t="s">
        <v>464</v>
      </c>
      <c r="J35" s="568" t="s">
        <v>288</v>
      </c>
      <c r="L35" s="373">
        <v>1</v>
      </c>
    </row>
    <row r="36" spans="1:12">
      <c r="A36" s="565">
        <v>31</v>
      </c>
      <c r="B36" s="560" t="s">
        <v>277</v>
      </c>
      <c r="C36" s="560" t="s">
        <v>462</v>
      </c>
      <c r="D36" s="560">
        <v>1900</v>
      </c>
      <c r="E36" s="560">
        <v>355</v>
      </c>
      <c r="F36" s="560">
        <v>27</v>
      </c>
      <c r="G36" s="560" t="s">
        <v>286</v>
      </c>
      <c r="H36" s="566">
        <v>9.9579242636746148</v>
      </c>
      <c r="I36" s="567" t="s">
        <v>464</v>
      </c>
      <c r="J36" s="568" t="s">
        <v>288</v>
      </c>
      <c r="L36" s="373">
        <v>1</v>
      </c>
    </row>
    <row r="37" spans="1:12">
      <c r="A37" s="565">
        <v>32</v>
      </c>
      <c r="B37" s="560" t="s">
        <v>277</v>
      </c>
      <c r="C37" s="560" t="s">
        <v>462</v>
      </c>
      <c r="D37" s="560">
        <v>1903</v>
      </c>
      <c r="E37" s="560">
        <v>180</v>
      </c>
      <c r="F37" s="560">
        <v>8</v>
      </c>
      <c r="G37" s="560" t="s">
        <v>286</v>
      </c>
      <c r="H37" s="566">
        <v>5.0490883590462836</v>
      </c>
      <c r="I37" s="567" t="s">
        <v>464</v>
      </c>
      <c r="J37" s="568" t="s">
        <v>288</v>
      </c>
      <c r="L37" s="373">
        <v>1</v>
      </c>
    </row>
    <row r="38" spans="1:12">
      <c r="A38" s="565">
        <v>33</v>
      </c>
      <c r="B38" s="560" t="s">
        <v>277</v>
      </c>
      <c r="C38" s="560" t="s">
        <v>462</v>
      </c>
      <c r="D38" s="560">
        <v>1890</v>
      </c>
      <c r="E38" s="560">
        <v>348</v>
      </c>
      <c r="F38" s="560">
        <v>20</v>
      </c>
      <c r="G38" s="560" t="s">
        <v>286</v>
      </c>
      <c r="H38" s="566">
        <v>9.7615708274894821</v>
      </c>
      <c r="I38" s="567" t="s">
        <v>464</v>
      </c>
      <c r="J38" s="568" t="s">
        <v>288</v>
      </c>
      <c r="L38" s="373">
        <v>1</v>
      </c>
    </row>
    <row r="39" spans="1:12">
      <c r="A39" s="565">
        <v>34</v>
      </c>
      <c r="B39" s="560" t="s">
        <v>277</v>
      </c>
      <c r="C39" s="560" t="s">
        <v>462</v>
      </c>
      <c r="D39" s="560">
        <v>1910</v>
      </c>
      <c r="E39" s="560">
        <v>396</v>
      </c>
      <c r="F39" s="560">
        <v>14</v>
      </c>
      <c r="G39" s="560" t="s">
        <v>286</v>
      </c>
      <c r="H39" s="566">
        <v>11.107994389901824</v>
      </c>
      <c r="I39" s="567" t="s">
        <v>464</v>
      </c>
      <c r="J39" s="568" t="s">
        <v>288</v>
      </c>
      <c r="L39" s="373">
        <v>1</v>
      </c>
    </row>
    <row r="40" spans="1:12">
      <c r="A40" s="565">
        <v>35</v>
      </c>
      <c r="B40" s="560" t="s">
        <v>277</v>
      </c>
      <c r="C40" s="560" t="s">
        <v>462</v>
      </c>
      <c r="D40" s="560">
        <v>1890</v>
      </c>
      <c r="E40" s="560">
        <v>470</v>
      </c>
      <c r="F40" s="560">
        <v>10</v>
      </c>
      <c r="G40" s="560" t="s">
        <v>286</v>
      </c>
      <c r="H40" s="566">
        <v>13.183730715287519</v>
      </c>
      <c r="I40" s="567" t="s">
        <v>464</v>
      </c>
      <c r="J40" s="568" t="s">
        <v>288</v>
      </c>
      <c r="L40" s="373">
        <v>1</v>
      </c>
    </row>
    <row r="41" spans="1:12">
      <c r="A41" s="565">
        <v>36</v>
      </c>
      <c r="B41" s="560" t="s">
        <v>277</v>
      </c>
      <c r="C41" s="560" t="s">
        <v>462</v>
      </c>
      <c r="D41" s="560">
        <v>1890</v>
      </c>
      <c r="E41" s="560">
        <v>133</v>
      </c>
      <c r="F41" s="560">
        <v>8</v>
      </c>
      <c r="G41" s="560" t="s">
        <v>286</v>
      </c>
      <c r="H41" s="566">
        <v>3.7307152875175316</v>
      </c>
      <c r="I41" s="567" t="s">
        <v>464</v>
      </c>
      <c r="J41" s="568" t="s">
        <v>288</v>
      </c>
      <c r="L41" s="373">
        <v>1</v>
      </c>
    </row>
    <row r="42" spans="1:12">
      <c r="A42" s="565">
        <v>37</v>
      </c>
      <c r="B42" s="560" t="s">
        <v>277</v>
      </c>
      <c r="C42" s="560" t="s">
        <v>462</v>
      </c>
      <c r="D42" s="560">
        <v>1880</v>
      </c>
      <c r="E42" s="560">
        <v>294</v>
      </c>
      <c r="F42" s="560">
        <v>15</v>
      </c>
      <c r="G42" s="560" t="s">
        <v>286</v>
      </c>
      <c r="H42" s="566">
        <v>8.2468443197755956</v>
      </c>
      <c r="I42" s="567" t="s">
        <v>464</v>
      </c>
      <c r="J42" s="568" t="s">
        <v>288</v>
      </c>
      <c r="L42" s="373">
        <v>1</v>
      </c>
    </row>
    <row r="43" spans="1:12">
      <c r="A43" s="565">
        <v>38</v>
      </c>
      <c r="B43" s="560" t="s">
        <v>277</v>
      </c>
      <c r="C43" s="560" t="s">
        <v>462</v>
      </c>
      <c r="D43" s="560">
        <v>1902</v>
      </c>
      <c r="E43" s="560">
        <v>562</v>
      </c>
      <c r="F43" s="560">
        <v>26</v>
      </c>
      <c r="G43" s="560" t="s">
        <v>286</v>
      </c>
      <c r="H43" s="566">
        <v>15.764375876577841</v>
      </c>
      <c r="I43" s="567" t="s">
        <v>464</v>
      </c>
      <c r="J43" s="568" t="s">
        <v>288</v>
      </c>
      <c r="L43" s="373">
        <v>1</v>
      </c>
    </row>
    <row r="44" spans="1:12">
      <c r="A44" s="565">
        <v>39</v>
      </c>
      <c r="B44" s="560" t="s">
        <v>278</v>
      </c>
      <c r="C44" s="560" t="s">
        <v>462</v>
      </c>
      <c r="D44" s="560">
        <v>1900</v>
      </c>
      <c r="E44" s="560">
        <v>127</v>
      </c>
      <c r="F44" s="560">
        <v>2</v>
      </c>
      <c r="G44" s="560" t="s">
        <v>286</v>
      </c>
      <c r="H44" s="566">
        <v>3.562412342215989</v>
      </c>
      <c r="I44" s="567" t="s">
        <v>464</v>
      </c>
      <c r="J44" s="568" t="s">
        <v>288</v>
      </c>
      <c r="L44" s="373">
        <v>1</v>
      </c>
    </row>
    <row r="45" spans="1:12">
      <c r="A45" s="565">
        <v>40</v>
      </c>
      <c r="B45" s="560" t="s">
        <v>278</v>
      </c>
      <c r="C45" s="560" t="s">
        <v>462</v>
      </c>
      <c r="D45" s="560">
        <v>1900</v>
      </c>
      <c r="E45" s="560">
        <v>102</v>
      </c>
      <c r="F45" s="560">
        <v>3</v>
      </c>
      <c r="G45" s="560" t="s">
        <v>286</v>
      </c>
      <c r="H45" s="566">
        <v>2.8611500701262274</v>
      </c>
      <c r="I45" s="567" t="s">
        <v>288</v>
      </c>
      <c r="J45" s="568" t="s">
        <v>288</v>
      </c>
      <c r="L45" s="373">
        <v>1</v>
      </c>
    </row>
    <row r="46" spans="1:12" ht="12" customHeight="1">
      <c r="A46" s="565">
        <v>41</v>
      </c>
      <c r="B46" s="560" t="s">
        <v>277</v>
      </c>
      <c r="C46" s="560" t="s">
        <v>462</v>
      </c>
      <c r="D46" s="560">
        <v>1914</v>
      </c>
      <c r="E46" s="560">
        <v>238</v>
      </c>
      <c r="F46" s="560">
        <v>11</v>
      </c>
      <c r="G46" s="560" t="s">
        <v>286</v>
      </c>
      <c r="H46" s="566">
        <v>6.6760168302945306</v>
      </c>
      <c r="I46" s="567" t="s">
        <v>465</v>
      </c>
      <c r="J46" s="568" t="s">
        <v>288</v>
      </c>
      <c r="L46" s="373">
        <v>1</v>
      </c>
    </row>
    <row r="47" spans="1:12" ht="16.8" customHeight="1">
      <c r="A47" s="565">
        <v>42</v>
      </c>
      <c r="B47" s="560" t="s">
        <v>277</v>
      </c>
      <c r="C47" s="560" t="s">
        <v>462</v>
      </c>
      <c r="D47" s="560">
        <v>1769</v>
      </c>
      <c r="E47" s="560">
        <v>498</v>
      </c>
      <c r="F47" s="560">
        <v>17</v>
      </c>
      <c r="G47" s="560" t="s">
        <v>34</v>
      </c>
      <c r="H47" s="566">
        <v>6384.6153846153848</v>
      </c>
      <c r="I47" s="567" t="s">
        <v>464</v>
      </c>
      <c r="J47" s="568" t="s">
        <v>288</v>
      </c>
      <c r="L47" s="373">
        <v>1</v>
      </c>
    </row>
    <row r="48" spans="1:12">
      <c r="A48" s="565">
        <v>43</v>
      </c>
      <c r="B48" s="560" t="s">
        <v>277</v>
      </c>
      <c r="C48" s="560" t="s">
        <v>462</v>
      </c>
      <c r="D48" s="560">
        <v>1769</v>
      </c>
      <c r="E48" s="560">
        <v>362</v>
      </c>
      <c r="F48" s="560">
        <v>18</v>
      </c>
      <c r="G48" s="560">
        <f>M15</f>
        <v>0</v>
      </c>
      <c r="H48" s="566">
        <v>138.22069492172585</v>
      </c>
      <c r="I48" s="567" t="s">
        <v>464</v>
      </c>
      <c r="J48" s="568" t="s">
        <v>288</v>
      </c>
      <c r="L48" s="373">
        <v>1</v>
      </c>
    </row>
    <row r="49" spans="1:12">
      <c r="A49" s="565">
        <v>44</v>
      </c>
      <c r="B49" s="560" t="s">
        <v>277</v>
      </c>
      <c r="C49" s="560" t="s">
        <v>462</v>
      </c>
      <c r="D49" s="560">
        <v>1769</v>
      </c>
      <c r="E49" s="560">
        <v>670</v>
      </c>
      <c r="F49" s="560">
        <v>21</v>
      </c>
      <c r="G49" s="560">
        <f>G48</f>
        <v>0</v>
      </c>
      <c r="H49" s="566">
        <v>255.82283314242076</v>
      </c>
      <c r="I49" s="567" t="s">
        <v>464</v>
      </c>
      <c r="J49" s="568" t="s">
        <v>288</v>
      </c>
      <c r="L49" s="373">
        <v>1</v>
      </c>
    </row>
    <row r="50" spans="1:12">
      <c r="A50" s="565">
        <v>45</v>
      </c>
      <c r="B50" s="560" t="s">
        <v>277</v>
      </c>
      <c r="C50" s="560" t="s">
        <v>462</v>
      </c>
      <c r="D50" s="560">
        <v>1769</v>
      </c>
      <c r="E50" s="560">
        <v>2136</v>
      </c>
      <c r="F50" s="560">
        <v>61</v>
      </c>
      <c r="G50" s="560">
        <f>G49</f>
        <v>0</v>
      </c>
      <c r="H50" s="566">
        <v>815.57846506300109</v>
      </c>
      <c r="I50" s="567" t="s">
        <v>464</v>
      </c>
      <c r="J50" s="568" t="s">
        <v>288</v>
      </c>
      <c r="L50" s="373">
        <v>1</v>
      </c>
    </row>
    <row r="51" spans="1:12">
      <c r="A51" s="565">
        <v>46</v>
      </c>
      <c r="B51" s="560" t="s">
        <v>277</v>
      </c>
      <c r="C51" s="560" t="s">
        <v>462</v>
      </c>
      <c r="D51" s="560">
        <v>1910</v>
      </c>
      <c r="E51" s="560">
        <v>478</v>
      </c>
      <c r="F51" s="560">
        <v>7</v>
      </c>
      <c r="G51" s="560" t="s">
        <v>34</v>
      </c>
      <c r="H51" s="566">
        <v>6128.2051282051279</v>
      </c>
      <c r="I51" s="567" t="s">
        <v>464</v>
      </c>
      <c r="J51" s="568" t="s">
        <v>288</v>
      </c>
      <c r="L51" s="373">
        <v>1</v>
      </c>
    </row>
    <row r="52" spans="1:12" ht="21">
      <c r="A52" s="565">
        <v>47</v>
      </c>
      <c r="B52" s="560" t="s">
        <v>277</v>
      </c>
      <c r="C52" s="560" t="s">
        <v>462</v>
      </c>
      <c r="D52" s="560">
        <v>1910</v>
      </c>
      <c r="E52" s="560">
        <v>373</v>
      </c>
      <c r="F52" s="560">
        <v>11</v>
      </c>
      <c r="G52" s="560" t="s">
        <v>34</v>
      </c>
      <c r="H52" s="566">
        <v>4782.0512820512822</v>
      </c>
      <c r="I52" s="567" t="s">
        <v>466</v>
      </c>
      <c r="J52" s="568" t="s">
        <v>288</v>
      </c>
      <c r="L52" s="373">
        <v>1</v>
      </c>
    </row>
    <row r="53" spans="1:12" ht="21">
      <c r="A53" s="565">
        <v>48</v>
      </c>
      <c r="B53" s="560" t="s">
        <v>277</v>
      </c>
      <c r="C53" s="560" t="s">
        <v>462</v>
      </c>
      <c r="D53" s="560">
        <v>1960</v>
      </c>
      <c r="E53" s="560">
        <v>407</v>
      </c>
      <c r="F53" s="560">
        <v>14</v>
      </c>
      <c r="G53" s="560" t="s">
        <v>34</v>
      </c>
      <c r="H53" s="566">
        <v>5217.9487179487178</v>
      </c>
      <c r="I53" s="567" t="s">
        <v>466</v>
      </c>
      <c r="J53" s="568" t="s">
        <v>288</v>
      </c>
      <c r="L53" s="373">
        <v>1</v>
      </c>
    </row>
    <row r="54" spans="1:12">
      <c r="A54" s="565">
        <v>49</v>
      </c>
      <c r="B54" s="560" t="s">
        <v>278</v>
      </c>
      <c r="C54" s="560" t="s">
        <v>462</v>
      </c>
      <c r="D54" s="560">
        <v>1780</v>
      </c>
      <c r="E54" s="560">
        <v>170</v>
      </c>
      <c r="F54" s="560">
        <v>2</v>
      </c>
      <c r="G54" s="560" t="s">
        <v>34</v>
      </c>
      <c r="H54" s="566">
        <v>2179.4871794871797</v>
      </c>
      <c r="I54" s="567" t="s">
        <v>464</v>
      </c>
      <c r="J54" s="568" t="s">
        <v>288</v>
      </c>
      <c r="L54" s="373">
        <v>1</v>
      </c>
    </row>
    <row r="55" spans="1:12">
      <c r="A55" s="565">
        <v>50</v>
      </c>
      <c r="B55" s="560" t="s">
        <v>277</v>
      </c>
      <c r="C55" s="560" t="s">
        <v>462</v>
      </c>
      <c r="D55" s="560">
        <v>1940</v>
      </c>
      <c r="E55" s="560">
        <v>342</v>
      </c>
      <c r="F55" s="560">
        <v>16</v>
      </c>
      <c r="G55" s="560" t="s">
        <v>34</v>
      </c>
      <c r="H55" s="566">
        <v>4384.6153846153848</v>
      </c>
      <c r="I55" s="567" t="s">
        <v>464</v>
      </c>
      <c r="J55" s="568" t="s">
        <v>288</v>
      </c>
      <c r="L55" s="373">
        <v>1</v>
      </c>
    </row>
    <row r="56" spans="1:12">
      <c r="A56" s="565">
        <v>51</v>
      </c>
      <c r="B56" s="560" t="s">
        <v>278</v>
      </c>
      <c r="C56" s="560" t="s">
        <v>462</v>
      </c>
      <c r="D56" s="560">
        <v>1899</v>
      </c>
      <c r="E56" s="560">
        <v>251</v>
      </c>
      <c r="F56" s="560">
        <v>6</v>
      </c>
      <c r="G56" s="560" t="s">
        <v>34</v>
      </c>
      <c r="H56" s="566">
        <v>3217.9487179487178</v>
      </c>
      <c r="I56" s="567" t="s">
        <v>464</v>
      </c>
      <c r="J56" s="568" t="s">
        <v>288</v>
      </c>
      <c r="L56" s="373">
        <v>1</v>
      </c>
    </row>
    <row r="57" spans="1:12">
      <c r="A57" s="565">
        <v>52</v>
      </c>
      <c r="B57" s="560" t="s">
        <v>277</v>
      </c>
      <c r="C57" s="560" t="s">
        <v>462</v>
      </c>
      <c r="D57" s="560">
        <v>1890</v>
      </c>
      <c r="E57" s="560">
        <v>231</v>
      </c>
      <c r="F57" s="560">
        <v>12</v>
      </c>
      <c r="G57" s="560" t="s">
        <v>286</v>
      </c>
      <c r="H57" s="566">
        <v>6.4796633941093971</v>
      </c>
      <c r="I57" s="567" t="s">
        <v>288</v>
      </c>
      <c r="J57" s="568" t="s">
        <v>288</v>
      </c>
      <c r="L57" s="373">
        <v>1</v>
      </c>
    </row>
    <row r="58" spans="1:12">
      <c r="A58" s="565">
        <v>53</v>
      </c>
      <c r="B58" s="560" t="s">
        <v>277</v>
      </c>
      <c r="C58" s="560" t="s">
        <v>462</v>
      </c>
      <c r="D58" s="560">
        <v>1910</v>
      </c>
      <c r="E58" s="560">
        <v>295</v>
      </c>
      <c r="F58" s="560">
        <v>11</v>
      </c>
      <c r="G58" s="560" t="s">
        <v>286</v>
      </c>
      <c r="H58" s="566">
        <v>8.2748948106591875</v>
      </c>
      <c r="I58" s="567" t="s">
        <v>464</v>
      </c>
      <c r="J58" s="568" t="s">
        <v>288</v>
      </c>
      <c r="L58" s="373">
        <v>1</v>
      </c>
    </row>
    <row r="59" spans="1:12">
      <c r="A59" s="565">
        <v>54</v>
      </c>
      <c r="B59" s="560" t="s">
        <v>277</v>
      </c>
      <c r="C59" s="560" t="s">
        <v>462</v>
      </c>
      <c r="D59" s="560">
        <v>1936</v>
      </c>
      <c r="E59" s="560">
        <v>418</v>
      </c>
      <c r="F59" s="560">
        <v>16</v>
      </c>
      <c r="G59" s="560">
        <f>G50</f>
        <v>0</v>
      </c>
      <c r="H59" s="566">
        <v>159.6029018709431</v>
      </c>
      <c r="I59" s="567" t="s">
        <v>464</v>
      </c>
      <c r="J59" s="568" t="s">
        <v>288</v>
      </c>
      <c r="L59" s="373">
        <v>1</v>
      </c>
    </row>
    <row r="60" spans="1:12">
      <c r="A60" s="565">
        <v>55</v>
      </c>
      <c r="B60" s="560" t="s">
        <v>277</v>
      </c>
      <c r="C60" s="560" t="s">
        <v>462</v>
      </c>
      <c r="D60" s="560">
        <v>1890</v>
      </c>
      <c r="E60" s="560">
        <v>243</v>
      </c>
      <c r="F60" s="560">
        <v>8</v>
      </c>
      <c r="G60" s="560" t="s">
        <v>286</v>
      </c>
      <c r="H60" s="566">
        <v>6.8162692847124831</v>
      </c>
      <c r="I60" s="567" t="s">
        <v>464</v>
      </c>
      <c r="J60" s="568" t="s">
        <v>288</v>
      </c>
      <c r="L60" s="373">
        <v>1</v>
      </c>
    </row>
    <row r="61" spans="1:12" ht="21">
      <c r="A61" s="565">
        <v>56</v>
      </c>
      <c r="B61" s="560" t="s">
        <v>277</v>
      </c>
      <c r="C61" s="560" t="s">
        <v>462</v>
      </c>
      <c r="D61" s="560">
        <v>1938</v>
      </c>
      <c r="E61" s="560">
        <v>449</v>
      </c>
      <c r="F61" s="560">
        <v>8</v>
      </c>
      <c r="G61" s="560" t="s">
        <v>115</v>
      </c>
      <c r="H61" s="566">
        <v>0</v>
      </c>
      <c r="I61" s="567" t="s">
        <v>467</v>
      </c>
      <c r="J61" s="568" t="s">
        <v>468</v>
      </c>
      <c r="L61" s="373">
        <v>1</v>
      </c>
    </row>
    <row r="62" spans="1:12">
      <c r="A62" s="565">
        <v>57</v>
      </c>
      <c r="B62" s="560" t="s">
        <v>277</v>
      </c>
      <c r="C62" s="560" t="s">
        <v>462</v>
      </c>
      <c r="D62" s="560">
        <v>1938</v>
      </c>
      <c r="E62" s="560">
        <v>446</v>
      </c>
      <c r="F62" s="560">
        <v>13</v>
      </c>
      <c r="G62" s="560" t="s">
        <v>286</v>
      </c>
      <c r="H62" s="566">
        <v>12.510518934081347</v>
      </c>
      <c r="I62" s="567" t="s">
        <v>464</v>
      </c>
      <c r="J62" s="568" t="s">
        <v>288</v>
      </c>
      <c r="L62" s="373">
        <v>1</v>
      </c>
    </row>
    <row r="63" spans="1:12">
      <c r="A63" s="565">
        <v>58</v>
      </c>
      <c r="B63" s="560" t="s">
        <v>277</v>
      </c>
      <c r="C63" s="560" t="s">
        <v>462</v>
      </c>
      <c r="D63" s="560">
        <v>1906</v>
      </c>
      <c r="E63" s="560">
        <v>235</v>
      </c>
      <c r="F63" s="560">
        <v>10</v>
      </c>
      <c r="G63" s="560" t="s">
        <v>286</v>
      </c>
      <c r="H63" s="566">
        <v>6.5918653576437594</v>
      </c>
      <c r="I63" s="567" t="s">
        <v>464</v>
      </c>
      <c r="J63" s="568" t="s">
        <v>288</v>
      </c>
      <c r="L63" s="373">
        <v>1</v>
      </c>
    </row>
    <row r="64" spans="1:12">
      <c r="A64" s="565">
        <v>59</v>
      </c>
      <c r="B64" s="560" t="s">
        <v>277</v>
      </c>
      <c r="C64" s="560" t="s">
        <v>462</v>
      </c>
      <c r="D64" s="560">
        <v>1906</v>
      </c>
      <c r="E64" s="560">
        <v>174</v>
      </c>
      <c r="F64" s="560">
        <v>11</v>
      </c>
      <c r="G64" s="560" t="s">
        <v>286</v>
      </c>
      <c r="H64" s="566">
        <v>4.8807854137447411</v>
      </c>
      <c r="I64" s="567" t="s">
        <v>464</v>
      </c>
      <c r="J64" s="568" t="s">
        <v>288</v>
      </c>
      <c r="L64" s="373">
        <v>1</v>
      </c>
    </row>
    <row r="65" spans="1:12">
      <c r="A65" s="565">
        <v>60</v>
      </c>
      <c r="B65" s="560" t="s">
        <v>277</v>
      </c>
      <c r="C65" s="560" t="s">
        <v>462</v>
      </c>
      <c r="D65" s="560">
        <v>1908</v>
      </c>
      <c r="E65" s="560">
        <v>420</v>
      </c>
      <c r="F65" s="560">
        <v>12</v>
      </c>
      <c r="G65" s="560" t="s">
        <v>286</v>
      </c>
      <c r="H65" s="566">
        <v>11.781206171107995</v>
      </c>
      <c r="I65" s="567" t="s">
        <v>464</v>
      </c>
      <c r="J65" s="568" t="s">
        <v>288</v>
      </c>
      <c r="L65" s="373">
        <v>1</v>
      </c>
    </row>
    <row r="66" spans="1:12">
      <c r="A66" s="565">
        <v>61</v>
      </c>
      <c r="B66" s="560" t="s">
        <v>278</v>
      </c>
      <c r="C66" s="560" t="s">
        <v>462</v>
      </c>
      <c r="D66" s="560">
        <v>1906</v>
      </c>
      <c r="E66" s="560">
        <v>165</v>
      </c>
      <c r="F66" s="560">
        <v>7</v>
      </c>
      <c r="G66" s="560" t="s">
        <v>286</v>
      </c>
      <c r="H66" s="566">
        <v>4.6283309957924264</v>
      </c>
      <c r="I66" s="567" t="s">
        <v>464</v>
      </c>
      <c r="J66" s="568" t="s">
        <v>288</v>
      </c>
      <c r="L66" s="373">
        <v>1</v>
      </c>
    </row>
    <row r="67" spans="1:12">
      <c r="A67" s="565">
        <v>62</v>
      </c>
      <c r="B67" s="560" t="s">
        <v>277</v>
      </c>
      <c r="C67" s="560" t="s">
        <v>462</v>
      </c>
      <c r="D67" s="560">
        <v>1906</v>
      </c>
      <c r="E67" s="560">
        <v>275</v>
      </c>
      <c r="F67" s="560">
        <v>21</v>
      </c>
      <c r="G67" s="560" t="s">
        <v>286</v>
      </c>
      <c r="H67" s="566">
        <v>7.7138849929873778</v>
      </c>
      <c r="I67" s="567" t="s">
        <v>464</v>
      </c>
      <c r="J67" s="568" t="s">
        <v>288</v>
      </c>
      <c r="L67" s="373">
        <v>1</v>
      </c>
    </row>
    <row r="68" spans="1:12">
      <c r="A68" s="565">
        <v>63</v>
      </c>
      <c r="B68" s="560" t="s">
        <v>277</v>
      </c>
      <c r="C68" s="560" t="s">
        <v>462</v>
      </c>
      <c r="D68" s="560">
        <v>1890</v>
      </c>
      <c r="E68" s="560">
        <v>267</v>
      </c>
      <c r="F68" s="560">
        <v>9</v>
      </c>
      <c r="G68" s="560" t="s">
        <v>286</v>
      </c>
      <c r="H68" s="566">
        <v>7.4894810659186541</v>
      </c>
      <c r="I68" s="567" t="s">
        <v>464</v>
      </c>
      <c r="J68" s="568" t="s">
        <v>288</v>
      </c>
      <c r="L68" s="373">
        <v>1</v>
      </c>
    </row>
    <row r="69" spans="1:12">
      <c r="A69" s="565">
        <v>64</v>
      </c>
      <c r="B69" s="560" t="s">
        <v>277</v>
      </c>
      <c r="C69" s="560" t="s">
        <v>462</v>
      </c>
      <c r="D69" s="560">
        <v>1906</v>
      </c>
      <c r="E69" s="560">
        <v>327</v>
      </c>
      <c r="F69" s="560">
        <v>7</v>
      </c>
      <c r="G69" s="560" t="s">
        <v>286</v>
      </c>
      <c r="H69" s="566">
        <v>9.1725105189340823</v>
      </c>
      <c r="I69" s="567" t="s">
        <v>464</v>
      </c>
      <c r="J69" s="568" t="s">
        <v>288</v>
      </c>
      <c r="L69" s="373">
        <v>1</v>
      </c>
    </row>
    <row r="70" spans="1:12">
      <c r="A70" s="565">
        <v>65</v>
      </c>
      <c r="B70" s="560" t="s">
        <v>277</v>
      </c>
      <c r="C70" s="560" t="s">
        <v>462</v>
      </c>
      <c r="D70" s="560">
        <v>1885</v>
      </c>
      <c r="E70" s="560">
        <v>262</v>
      </c>
      <c r="F70" s="560">
        <v>15</v>
      </c>
      <c r="G70" s="560" t="s">
        <v>286</v>
      </c>
      <c r="H70" s="566">
        <v>7.3492286115007017</v>
      </c>
      <c r="I70" s="567" t="s">
        <v>464</v>
      </c>
      <c r="J70" s="568" t="s">
        <v>288</v>
      </c>
      <c r="L70" s="373">
        <v>1</v>
      </c>
    </row>
    <row r="71" spans="1:12">
      <c r="A71" s="565">
        <v>66</v>
      </c>
      <c r="B71" s="560" t="s">
        <v>277</v>
      </c>
      <c r="C71" s="560" t="s">
        <v>462</v>
      </c>
      <c r="D71" s="560">
        <v>1910</v>
      </c>
      <c r="E71" s="560">
        <v>337</v>
      </c>
      <c r="F71" s="560">
        <v>12</v>
      </c>
      <c r="G71" s="560" t="s">
        <v>286</v>
      </c>
      <c r="H71" s="566">
        <v>9.4530154277699872</v>
      </c>
      <c r="I71" s="567" t="s">
        <v>464</v>
      </c>
      <c r="J71" s="568" t="s">
        <v>288</v>
      </c>
      <c r="L71" s="373">
        <v>1</v>
      </c>
    </row>
    <row r="72" spans="1:12">
      <c r="A72" s="565">
        <v>67</v>
      </c>
      <c r="B72" s="560" t="s">
        <v>277</v>
      </c>
      <c r="C72" s="560" t="s">
        <v>462</v>
      </c>
      <c r="D72" s="560">
        <v>1925</v>
      </c>
      <c r="E72" s="560">
        <v>673</v>
      </c>
      <c r="F72" s="560">
        <v>23</v>
      </c>
      <c r="G72" s="560" t="s">
        <v>286</v>
      </c>
      <c r="H72" s="566">
        <v>18.877980364656381</v>
      </c>
      <c r="I72" s="567" t="s">
        <v>464</v>
      </c>
      <c r="J72" s="568" t="s">
        <v>288</v>
      </c>
      <c r="L72" s="373">
        <v>1</v>
      </c>
    </row>
    <row r="73" spans="1:12">
      <c r="A73" s="565">
        <v>68</v>
      </c>
      <c r="B73" s="560" t="s">
        <v>277</v>
      </c>
      <c r="C73" s="560" t="s">
        <v>462</v>
      </c>
      <c r="D73" s="560">
        <v>1884</v>
      </c>
      <c r="E73" s="560">
        <v>272</v>
      </c>
      <c r="F73" s="560">
        <v>11</v>
      </c>
      <c r="G73" s="560" t="s">
        <v>286</v>
      </c>
      <c r="H73" s="566">
        <v>7.6297335203366066</v>
      </c>
      <c r="I73" s="567" t="s">
        <v>288</v>
      </c>
      <c r="J73" s="568" t="s">
        <v>288</v>
      </c>
      <c r="L73" s="373">
        <v>1</v>
      </c>
    </row>
    <row r="74" spans="1:12">
      <c r="A74" s="565">
        <v>69</v>
      </c>
      <c r="B74" s="560" t="s">
        <v>277</v>
      </c>
      <c r="C74" s="560" t="s">
        <v>462</v>
      </c>
      <c r="D74" s="560">
        <v>1932</v>
      </c>
      <c r="E74" s="560">
        <v>305</v>
      </c>
      <c r="F74" s="560">
        <v>14</v>
      </c>
      <c r="G74" s="560" t="s">
        <v>286</v>
      </c>
      <c r="H74" s="566">
        <v>8.5553997194950924</v>
      </c>
      <c r="I74" s="567" t="s">
        <v>464</v>
      </c>
      <c r="J74" s="568"/>
      <c r="L74" s="373">
        <v>1</v>
      </c>
    </row>
    <row r="75" spans="1:12">
      <c r="A75" s="565">
        <v>70</v>
      </c>
      <c r="B75" s="560" t="s">
        <v>277</v>
      </c>
      <c r="C75" s="560" t="s">
        <v>462</v>
      </c>
      <c r="D75" s="560">
        <v>1915</v>
      </c>
      <c r="E75" s="560">
        <v>214</v>
      </c>
      <c r="F75" s="560">
        <v>10</v>
      </c>
      <c r="G75" s="560" t="s">
        <v>286</v>
      </c>
      <c r="H75" s="566">
        <v>6.0028050490883595</v>
      </c>
      <c r="I75" s="567" t="s">
        <v>464</v>
      </c>
      <c r="J75" s="568" t="s">
        <v>288</v>
      </c>
      <c r="L75" s="373">
        <v>1</v>
      </c>
    </row>
    <row r="76" spans="1:12">
      <c r="A76" s="565">
        <v>71</v>
      </c>
      <c r="B76" s="560" t="s">
        <v>277</v>
      </c>
      <c r="C76" s="560" t="s">
        <v>462</v>
      </c>
      <c r="D76" s="560">
        <v>1890</v>
      </c>
      <c r="E76" s="560">
        <v>171</v>
      </c>
      <c r="F76" s="560">
        <v>9</v>
      </c>
      <c r="G76" s="560" t="s">
        <v>286</v>
      </c>
      <c r="H76" s="566">
        <v>4.7966339410939689</v>
      </c>
      <c r="I76" s="567" t="s">
        <v>464</v>
      </c>
      <c r="J76" s="568" t="s">
        <v>288</v>
      </c>
      <c r="L76" s="373">
        <v>1</v>
      </c>
    </row>
    <row r="77" spans="1:12" ht="21">
      <c r="A77" s="565">
        <v>72</v>
      </c>
      <c r="B77" s="560" t="s">
        <v>278</v>
      </c>
      <c r="C77" s="560" t="s">
        <v>462</v>
      </c>
      <c r="D77" s="560">
        <v>1940</v>
      </c>
      <c r="E77" s="560">
        <v>150</v>
      </c>
      <c r="F77" s="560">
        <v>8</v>
      </c>
      <c r="G77" s="560" t="s">
        <v>286</v>
      </c>
      <c r="H77" s="566">
        <v>4.20757363253857</v>
      </c>
      <c r="I77" s="567" t="s">
        <v>465</v>
      </c>
      <c r="J77" s="568" t="s">
        <v>468</v>
      </c>
      <c r="L77" s="373">
        <v>1</v>
      </c>
    </row>
    <row r="78" spans="1:12">
      <c r="A78" s="565">
        <v>73</v>
      </c>
      <c r="B78" s="560" t="s">
        <v>277</v>
      </c>
      <c r="C78" s="560" t="s">
        <v>462</v>
      </c>
      <c r="D78" s="560">
        <v>1900</v>
      </c>
      <c r="E78" s="560">
        <v>302</v>
      </c>
      <c r="F78" s="560">
        <v>8</v>
      </c>
      <c r="G78" s="560" t="s">
        <v>286</v>
      </c>
      <c r="H78" s="566">
        <v>8.4712482468443202</v>
      </c>
      <c r="I78" s="567" t="s">
        <v>464</v>
      </c>
      <c r="J78" s="568" t="s">
        <v>288</v>
      </c>
      <c r="L78" s="373">
        <v>1</v>
      </c>
    </row>
    <row r="79" spans="1:12">
      <c r="A79" s="565">
        <v>74</v>
      </c>
      <c r="B79" s="560" t="s">
        <v>277</v>
      </c>
      <c r="C79" s="560" t="s">
        <v>462</v>
      </c>
      <c r="D79" s="560">
        <v>1900</v>
      </c>
      <c r="E79" s="560">
        <v>413</v>
      </c>
      <c r="F79" s="560">
        <v>23</v>
      </c>
      <c r="G79" s="560" t="s">
        <v>286</v>
      </c>
      <c r="H79" s="566">
        <v>11.584852734922862</v>
      </c>
      <c r="I79" s="567" t="s">
        <v>288</v>
      </c>
      <c r="J79" s="568" t="s">
        <v>288</v>
      </c>
      <c r="L79" s="373">
        <v>1</v>
      </c>
    </row>
    <row r="80" spans="1:12">
      <c r="A80" s="565">
        <v>75</v>
      </c>
      <c r="B80" s="560" t="s">
        <v>277</v>
      </c>
      <c r="C80" s="560" t="s">
        <v>462</v>
      </c>
      <c r="D80" s="560">
        <v>1880</v>
      </c>
      <c r="E80" s="560">
        <v>197</v>
      </c>
      <c r="F80" s="560">
        <v>8</v>
      </c>
      <c r="G80" s="560" t="s">
        <v>286</v>
      </c>
      <c r="H80" s="566">
        <v>5.5259467040673211</v>
      </c>
      <c r="I80" s="567" t="s">
        <v>288</v>
      </c>
      <c r="J80" s="568" t="s">
        <v>288</v>
      </c>
      <c r="L80" s="373">
        <v>1</v>
      </c>
    </row>
    <row r="81" spans="1:12">
      <c r="A81" s="565">
        <v>76</v>
      </c>
      <c r="B81" s="560" t="s">
        <v>277</v>
      </c>
      <c r="C81" s="560" t="s">
        <v>462</v>
      </c>
      <c r="D81" s="560">
        <v>1914</v>
      </c>
      <c r="E81" s="560">
        <v>205</v>
      </c>
      <c r="F81" s="560">
        <v>12</v>
      </c>
      <c r="G81" s="560" t="s">
        <v>286</v>
      </c>
      <c r="H81" s="566">
        <v>5.7503506311360448</v>
      </c>
      <c r="I81" s="567" t="s">
        <v>288</v>
      </c>
      <c r="J81" s="568" t="s">
        <v>288</v>
      </c>
      <c r="L81" s="373">
        <v>1</v>
      </c>
    </row>
    <row r="82" spans="1:12">
      <c r="A82" s="565">
        <v>77</v>
      </c>
      <c r="B82" s="560" t="s">
        <v>277</v>
      </c>
      <c r="C82" s="560" t="s">
        <v>462</v>
      </c>
      <c r="D82" s="560">
        <v>1890</v>
      </c>
      <c r="E82" s="560">
        <v>135</v>
      </c>
      <c r="F82" s="560">
        <v>9</v>
      </c>
      <c r="G82" s="560" t="s">
        <v>286</v>
      </c>
      <c r="H82" s="566">
        <v>3.7868162692847127</v>
      </c>
      <c r="I82" s="567" t="s">
        <v>288</v>
      </c>
      <c r="J82" s="568" t="s">
        <v>288</v>
      </c>
      <c r="L82" s="373">
        <v>1</v>
      </c>
    </row>
    <row r="83" spans="1:12">
      <c r="A83" s="565">
        <v>78</v>
      </c>
      <c r="B83" s="560" t="s">
        <v>277</v>
      </c>
      <c r="C83" s="560" t="s">
        <v>462</v>
      </c>
      <c r="D83" s="560">
        <v>1890</v>
      </c>
      <c r="E83" s="560">
        <v>126</v>
      </c>
      <c r="F83" s="560">
        <v>10</v>
      </c>
      <c r="G83" s="560" t="s">
        <v>286</v>
      </c>
      <c r="H83" s="566">
        <v>3.5343618513323984</v>
      </c>
      <c r="I83" s="567" t="s">
        <v>288</v>
      </c>
      <c r="J83" s="568" t="s">
        <v>288</v>
      </c>
      <c r="L83" s="373">
        <v>1</v>
      </c>
    </row>
    <row r="84" spans="1:12">
      <c r="A84" s="565">
        <v>79</v>
      </c>
      <c r="B84" s="560" t="s">
        <v>277</v>
      </c>
      <c r="C84" s="560" t="s">
        <v>462</v>
      </c>
      <c r="D84" s="560">
        <v>1890</v>
      </c>
      <c r="E84" s="560">
        <v>96</v>
      </c>
      <c r="F84" s="560">
        <v>9</v>
      </c>
      <c r="G84" s="560" t="s">
        <v>286</v>
      </c>
      <c r="H84" s="566">
        <v>2.6928471248246844</v>
      </c>
      <c r="I84" s="567" t="s">
        <v>288</v>
      </c>
      <c r="J84" s="568" t="s">
        <v>288</v>
      </c>
      <c r="L84" s="373">
        <v>1</v>
      </c>
    </row>
    <row r="85" spans="1:12">
      <c r="A85" s="565">
        <v>80</v>
      </c>
      <c r="B85" s="560" t="s">
        <v>277</v>
      </c>
      <c r="C85" s="560" t="s">
        <v>462</v>
      </c>
      <c r="D85" s="560">
        <v>1890</v>
      </c>
      <c r="E85" s="560">
        <v>442</v>
      </c>
      <c r="F85" s="560">
        <v>15</v>
      </c>
      <c r="G85" s="560" t="s">
        <v>286</v>
      </c>
      <c r="H85" s="566">
        <v>12.398316970546984</v>
      </c>
      <c r="I85" s="567" t="s">
        <v>464</v>
      </c>
      <c r="J85" s="568" t="s">
        <v>288</v>
      </c>
      <c r="L85" s="373">
        <v>1</v>
      </c>
    </row>
    <row r="86" spans="1:12" ht="21">
      <c r="A86" s="565">
        <v>81</v>
      </c>
      <c r="B86" s="560" t="s">
        <v>277</v>
      </c>
      <c r="C86" s="560" t="s">
        <v>462</v>
      </c>
      <c r="D86" s="560">
        <v>1967</v>
      </c>
      <c r="E86" s="560">
        <v>2083</v>
      </c>
      <c r="F86" s="560">
        <v>87</v>
      </c>
      <c r="G86" s="560" t="s">
        <v>286</v>
      </c>
      <c r="H86" s="566">
        <v>58.429172510518939</v>
      </c>
      <c r="I86" s="567" t="s">
        <v>469</v>
      </c>
      <c r="J86" s="568" t="s">
        <v>468</v>
      </c>
      <c r="L86" s="373">
        <v>1</v>
      </c>
    </row>
    <row r="87" spans="1:12" ht="21">
      <c r="A87" s="565">
        <v>82</v>
      </c>
      <c r="B87" s="560" t="s">
        <v>277</v>
      </c>
      <c r="C87" s="560" t="s">
        <v>462</v>
      </c>
      <c r="D87" s="560">
        <v>1962</v>
      </c>
      <c r="E87" s="560">
        <v>924</v>
      </c>
      <c r="F87" s="560">
        <v>30</v>
      </c>
      <c r="G87" s="560" t="s">
        <v>286</v>
      </c>
      <c r="H87" s="566">
        <v>25.918653576437588</v>
      </c>
      <c r="I87" s="567" t="s">
        <v>466</v>
      </c>
      <c r="J87" s="568" t="s">
        <v>468</v>
      </c>
      <c r="L87" s="373">
        <v>1</v>
      </c>
    </row>
    <row r="88" spans="1:12" ht="21">
      <c r="A88" s="565">
        <v>83</v>
      </c>
      <c r="B88" s="560" t="s">
        <v>277</v>
      </c>
      <c r="C88" s="560" t="s">
        <v>462</v>
      </c>
      <c r="D88" s="560">
        <v>1850</v>
      </c>
      <c r="E88" s="560">
        <v>476</v>
      </c>
      <c r="F88" s="560">
        <v>11</v>
      </c>
      <c r="G88" s="560" t="s">
        <v>286</v>
      </c>
      <c r="H88" s="566">
        <v>13.352033660589061</v>
      </c>
      <c r="I88" s="567" t="s">
        <v>466</v>
      </c>
      <c r="J88" s="568" t="s">
        <v>468</v>
      </c>
      <c r="L88" s="373">
        <v>1</v>
      </c>
    </row>
    <row r="89" spans="1:12">
      <c r="A89" s="565">
        <v>84</v>
      </c>
      <c r="B89" s="560" t="s">
        <v>277</v>
      </c>
      <c r="C89" s="560" t="s">
        <v>462</v>
      </c>
      <c r="D89" s="560">
        <v>1912</v>
      </c>
      <c r="E89" s="560">
        <v>167</v>
      </c>
      <c r="F89" s="560">
        <v>12</v>
      </c>
      <c r="G89" s="560" t="s">
        <v>286</v>
      </c>
      <c r="H89" s="566">
        <v>4.6844319775596075</v>
      </c>
      <c r="I89" s="567" t="s">
        <v>470</v>
      </c>
      <c r="J89" s="568" t="s">
        <v>468</v>
      </c>
      <c r="L89" s="373">
        <v>1</v>
      </c>
    </row>
    <row r="90" spans="1:12" ht="21">
      <c r="A90" s="565">
        <v>85</v>
      </c>
      <c r="B90" s="560" t="s">
        <v>277</v>
      </c>
      <c r="C90" s="560" t="s">
        <v>462</v>
      </c>
      <c r="D90" s="560">
        <v>1967</v>
      </c>
      <c r="E90" s="560">
        <v>980</v>
      </c>
      <c r="F90" s="560">
        <v>34</v>
      </c>
      <c r="G90" s="560" t="s">
        <v>286</v>
      </c>
      <c r="H90" s="566">
        <v>27.489481065918653</v>
      </c>
      <c r="I90" s="567" t="s">
        <v>471</v>
      </c>
      <c r="J90" s="568" t="s">
        <v>468</v>
      </c>
      <c r="L90" s="373">
        <v>1</v>
      </c>
    </row>
    <row r="91" spans="1:12" ht="21">
      <c r="A91" s="565">
        <v>86</v>
      </c>
      <c r="B91" s="560" t="s">
        <v>277</v>
      </c>
      <c r="C91" s="560" t="s">
        <v>462</v>
      </c>
      <c r="D91" s="560">
        <v>1969</v>
      </c>
      <c r="E91" s="560">
        <v>3459</v>
      </c>
      <c r="F91" s="560">
        <v>96</v>
      </c>
      <c r="G91" s="560">
        <f>G59</f>
        <v>0</v>
      </c>
      <c r="H91" s="566">
        <v>1320.7331042382589</v>
      </c>
      <c r="I91" s="567" t="s">
        <v>472</v>
      </c>
      <c r="J91" s="568" t="s">
        <v>468</v>
      </c>
      <c r="L91" s="373">
        <v>1</v>
      </c>
    </row>
    <row r="92" spans="1:12" ht="21">
      <c r="A92" s="565">
        <v>87</v>
      </c>
      <c r="B92" s="560" t="s">
        <v>277</v>
      </c>
      <c r="C92" s="560" t="s">
        <v>462</v>
      </c>
      <c r="D92" s="560">
        <v>1967</v>
      </c>
      <c r="E92" s="560">
        <v>1392</v>
      </c>
      <c r="F92" s="560">
        <v>53</v>
      </c>
      <c r="G92" s="560">
        <f>G91</f>
        <v>0</v>
      </c>
      <c r="H92" s="566">
        <v>531.50057273768607</v>
      </c>
      <c r="I92" s="567" t="s">
        <v>473</v>
      </c>
      <c r="J92" s="568" t="s">
        <v>474</v>
      </c>
      <c r="L92" s="373">
        <v>1</v>
      </c>
    </row>
    <row r="93" spans="1:12" ht="21">
      <c r="A93" s="565">
        <v>88</v>
      </c>
      <c r="B93" s="560" t="s">
        <v>277</v>
      </c>
      <c r="C93" s="560" t="s">
        <v>462</v>
      </c>
      <c r="D93" s="560">
        <v>1985</v>
      </c>
      <c r="E93" s="560">
        <v>1434</v>
      </c>
      <c r="F93" s="560">
        <v>62</v>
      </c>
      <c r="G93" s="560">
        <f t="shared" ref="G93:G94" si="0">G92</f>
        <v>0</v>
      </c>
      <c r="H93" s="566">
        <v>547.53722794959901</v>
      </c>
      <c r="I93" s="567" t="s">
        <v>475</v>
      </c>
      <c r="J93" s="568" t="s">
        <v>474</v>
      </c>
      <c r="L93" s="373">
        <v>1</v>
      </c>
    </row>
    <row r="94" spans="1:12" ht="21">
      <c r="A94" s="565">
        <v>89</v>
      </c>
      <c r="B94" s="560" t="s">
        <v>277</v>
      </c>
      <c r="C94" s="560" t="s">
        <v>462</v>
      </c>
      <c r="D94" s="560">
        <v>1967</v>
      </c>
      <c r="E94" s="560">
        <v>1384</v>
      </c>
      <c r="F94" s="560">
        <v>55</v>
      </c>
      <c r="G94" s="560">
        <f t="shared" si="0"/>
        <v>0</v>
      </c>
      <c r="H94" s="566">
        <v>528.44597174494072</v>
      </c>
      <c r="I94" s="567" t="s">
        <v>475</v>
      </c>
      <c r="J94" s="568" t="s">
        <v>474</v>
      </c>
      <c r="L94" s="373">
        <v>1</v>
      </c>
    </row>
    <row r="95" spans="1:12">
      <c r="A95" s="565">
        <v>90</v>
      </c>
      <c r="B95" s="560" t="s">
        <v>277</v>
      </c>
      <c r="C95" s="560" t="s">
        <v>462</v>
      </c>
      <c r="D95" s="560">
        <v>1656</v>
      </c>
      <c r="E95" s="560">
        <v>288</v>
      </c>
      <c r="F95" s="560">
        <v>11</v>
      </c>
      <c r="G95" s="560" t="s">
        <v>286</v>
      </c>
      <c r="H95" s="566">
        <v>8.0785413744740531</v>
      </c>
      <c r="I95" s="567" t="s">
        <v>464</v>
      </c>
      <c r="J95" s="568" t="s">
        <v>288</v>
      </c>
      <c r="L95" s="373">
        <v>1</v>
      </c>
    </row>
    <row r="96" spans="1:12">
      <c r="A96" s="565">
        <v>91</v>
      </c>
      <c r="B96" s="560" t="s">
        <v>278</v>
      </c>
      <c r="C96" s="560" t="s">
        <v>462</v>
      </c>
      <c r="D96" s="560">
        <v>1880</v>
      </c>
      <c r="E96" s="560">
        <v>218</v>
      </c>
      <c r="F96" s="560">
        <v>6</v>
      </c>
      <c r="G96" s="560" t="s">
        <v>286</v>
      </c>
      <c r="H96" s="566">
        <v>6.1150070126227209</v>
      </c>
      <c r="I96" s="567" t="s">
        <v>464</v>
      </c>
      <c r="J96" s="568" t="s">
        <v>288</v>
      </c>
      <c r="L96" s="373">
        <v>1</v>
      </c>
    </row>
    <row r="97" spans="1:12">
      <c r="A97" s="565">
        <v>92</v>
      </c>
      <c r="B97" s="560" t="s">
        <v>277</v>
      </c>
      <c r="C97" s="560" t="s">
        <v>462</v>
      </c>
      <c r="D97" s="560">
        <v>1900</v>
      </c>
      <c r="E97" s="560">
        <v>602</v>
      </c>
      <c r="F97" s="560">
        <v>14</v>
      </c>
      <c r="G97" s="560" t="s">
        <v>286</v>
      </c>
      <c r="H97" s="566">
        <v>16.88639551192146</v>
      </c>
      <c r="I97" s="567" t="s">
        <v>464</v>
      </c>
      <c r="J97" s="568" t="s">
        <v>288</v>
      </c>
      <c r="L97" s="373">
        <v>1</v>
      </c>
    </row>
    <row r="98" spans="1:12">
      <c r="A98" s="565">
        <v>93</v>
      </c>
      <c r="B98" s="560" t="s">
        <v>277</v>
      </c>
      <c r="C98" s="560" t="s">
        <v>462</v>
      </c>
      <c r="D98" s="560">
        <v>1880</v>
      </c>
      <c r="E98" s="560">
        <v>352</v>
      </c>
      <c r="F98" s="560">
        <v>12</v>
      </c>
      <c r="G98" s="560" t="s">
        <v>286</v>
      </c>
      <c r="H98" s="566">
        <v>9.8737727910238426</v>
      </c>
      <c r="I98" s="567" t="s">
        <v>464</v>
      </c>
      <c r="J98" s="568" t="s">
        <v>288</v>
      </c>
      <c r="L98" s="373">
        <v>1</v>
      </c>
    </row>
    <row r="99" spans="1:12">
      <c r="A99" s="565">
        <v>94</v>
      </c>
      <c r="B99" s="560" t="s">
        <v>277</v>
      </c>
      <c r="C99" s="560" t="s">
        <v>462</v>
      </c>
      <c r="D99" s="560">
        <v>1899</v>
      </c>
      <c r="E99" s="560">
        <v>325</v>
      </c>
      <c r="F99" s="560">
        <v>14</v>
      </c>
      <c r="G99" s="560" t="s">
        <v>286</v>
      </c>
      <c r="H99" s="566">
        <v>9.1164095371669003</v>
      </c>
      <c r="I99" s="567" t="s">
        <v>464</v>
      </c>
      <c r="J99" s="568" t="s">
        <v>288</v>
      </c>
      <c r="L99" s="373">
        <v>1</v>
      </c>
    </row>
    <row r="100" spans="1:12">
      <c r="A100" s="565">
        <v>95</v>
      </c>
      <c r="B100" s="560" t="s">
        <v>277</v>
      </c>
      <c r="C100" s="560" t="s">
        <v>462</v>
      </c>
      <c r="D100" s="560">
        <v>1828</v>
      </c>
      <c r="E100" s="560">
        <v>202</v>
      </c>
      <c r="F100" s="560">
        <v>10</v>
      </c>
      <c r="G100" s="560" t="s">
        <v>286</v>
      </c>
      <c r="H100" s="566">
        <v>5.6661991584852736</v>
      </c>
      <c r="I100" s="567" t="s">
        <v>464</v>
      </c>
      <c r="J100" s="568" t="s">
        <v>288</v>
      </c>
      <c r="L100" s="373">
        <v>1</v>
      </c>
    </row>
    <row r="101" spans="1:12">
      <c r="A101" s="565">
        <v>96</v>
      </c>
      <c r="B101" s="560" t="s">
        <v>278</v>
      </c>
      <c r="C101" s="560" t="s">
        <v>462</v>
      </c>
      <c r="D101" s="560">
        <v>1930</v>
      </c>
      <c r="E101" s="560">
        <v>180</v>
      </c>
      <c r="F101" s="560">
        <v>4</v>
      </c>
      <c r="G101" s="560" t="s">
        <v>286</v>
      </c>
      <c r="H101" s="566">
        <v>5.0490883590462836</v>
      </c>
      <c r="I101" s="567" t="s">
        <v>464</v>
      </c>
      <c r="J101" s="568" t="s">
        <v>288</v>
      </c>
      <c r="L101" s="373">
        <v>1</v>
      </c>
    </row>
    <row r="102" spans="1:12">
      <c r="A102" s="565">
        <v>97</v>
      </c>
      <c r="B102" s="560" t="s">
        <v>277</v>
      </c>
      <c r="C102" s="560" t="s">
        <v>462</v>
      </c>
      <c r="D102" s="560">
        <v>1930</v>
      </c>
      <c r="E102" s="560">
        <v>367</v>
      </c>
      <c r="F102" s="560"/>
      <c r="G102" s="560" t="s">
        <v>286</v>
      </c>
      <c r="H102" s="566">
        <v>10.2945301542777</v>
      </c>
      <c r="I102" s="567" t="s">
        <v>464</v>
      </c>
      <c r="J102" s="568" t="s">
        <v>288</v>
      </c>
      <c r="L102" s="373">
        <v>1</v>
      </c>
    </row>
    <row r="103" spans="1:12">
      <c r="A103" s="565">
        <v>98</v>
      </c>
      <c r="B103" s="560" t="s">
        <v>277</v>
      </c>
      <c r="C103" s="560" t="s">
        <v>462</v>
      </c>
      <c r="D103" s="560">
        <v>1929</v>
      </c>
      <c r="E103" s="560">
        <v>265</v>
      </c>
      <c r="F103" s="560">
        <v>8</v>
      </c>
      <c r="G103" s="560" t="s">
        <v>286</v>
      </c>
      <c r="H103" s="566">
        <v>7.433380084151473</v>
      </c>
      <c r="I103" s="567" t="s">
        <v>464</v>
      </c>
      <c r="J103" s="568" t="s">
        <v>288</v>
      </c>
      <c r="L103" s="373">
        <v>1</v>
      </c>
    </row>
    <row r="104" spans="1:12">
      <c r="A104" s="565">
        <v>99</v>
      </c>
      <c r="B104" s="560" t="s">
        <v>277</v>
      </c>
      <c r="C104" s="560" t="s">
        <v>462</v>
      </c>
      <c r="D104" s="560">
        <v>1935</v>
      </c>
      <c r="E104" s="560">
        <v>333</v>
      </c>
      <c r="F104" s="560">
        <v>13</v>
      </c>
      <c r="G104" s="560" t="s">
        <v>286</v>
      </c>
      <c r="H104" s="566">
        <v>9.3408134642356249</v>
      </c>
      <c r="I104" s="567" t="s">
        <v>464</v>
      </c>
      <c r="J104" s="568" t="s">
        <v>288</v>
      </c>
      <c r="L104" s="373">
        <v>1</v>
      </c>
    </row>
    <row r="105" spans="1:12">
      <c r="A105" s="565">
        <v>100</v>
      </c>
      <c r="B105" s="560" t="s">
        <v>277</v>
      </c>
      <c r="C105" s="560" t="s">
        <v>462</v>
      </c>
      <c r="D105" s="560">
        <v>1928</v>
      </c>
      <c r="E105" s="560">
        <v>445</v>
      </c>
      <c r="F105" s="560">
        <v>13</v>
      </c>
      <c r="G105" s="560" t="s">
        <v>286</v>
      </c>
      <c r="H105" s="566">
        <v>12.482468443197757</v>
      </c>
      <c r="I105" s="567" t="s">
        <v>464</v>
      </c>
      <c r="J105" s="568" t="s">
        <v>288</v>
      </c>
      <c r="L105" s="373">
        <v>1</v>
      </c>
    </row>
    <row r="106" spans="1:12">
      <c r="A106" s="565">
        <v>101</v>
      </c>
      <c r="B106" s="560" t="s">
        <v>277</v>
      </c>
      <c r="C106" s="560" t="s">
        <v>462</v>
      </c>
      <c r="D106" s="560">
        <v>1930</v>
      </c>
      <c r="E106" s="560">
        <v>418</v>
      </c>
      <c r="F106" s="560">
        <v>14</v>
      </c>
      <c r="G106" s="560" t="s">
        <v>286</v>
      </c>
      <c r="H106" s="566">
        <v>11.725105189340814</v>
      </c>
      <c r="I106" s="567" t="s">
        <v>464</v>
      </c>
      <c r="J106" s="568" t="s">
        <v>288</v>
      </c>
      <c r="L106" s="373">
        <v>1</v>
      </c>
    </row>
    <row r="107" spans="1:12">
      <c r="A107" s="565">
        <v>102</v>
      </c>
      <c r="B107" s="560" t="s">
        <v>277</v>
      </c>
      <c r="C107" s="560" t="s">
        <v>462</v>
      </c>
      <c r="D107" s="560">
        <v>1930</v>
      </c>
      <c r="E107" s="560">
        <v>361</v>
      </c>
      <c r="F107" s="560">
        <v>6</v>
      </c>
      <c r="G107" s="560" t="s">
        <v>286</v>
      </c>
      <c r="H107" s="566">
        <v>10.126227208976157</v>
      </c>
      <c r="I107" s="567" t="s">
        <v>464</v>
      </c>
      <c r="J107" s="568" t="s">
        <v>288</v>
      </c>
      <c r="L107" s="373">
        <v>1</v>
      </c>
    </row>
    <row r="108" spans="1:12">
      <c r="A108" s="565">
        <v>103</v>
      </c>
      <c r="B108" s="560" t="s">
        <v>278</v>
      </c>
      <c r="C108" s="560" t="s">
        <v>462</v>
      </c>
      <c r="D108" s="560">
        <v>1910</v>
      </c>
      <c r="E108" s="560">
        <v>551</v>
      </c>
      <c r="F108" s="560">
        <v>18</v>
      </c>
      <c r="G108" s="560" t="s">
        <v>286</v>
      </c>
      <c r="H108" s="566">
        <v>15.455820476858346</v>
      </c>
      <c r="I108" s="567" t="s">
        <v>464</v>
      </c>
      <c r="J108" s="568" t="s">
        <v>474</v>
      </c>
      <c r="L108" s="373">
        <v>1</v>
      </c>
    </row>
    <row r="109" spans="1:12">
      <c r="A109" s="565">
        <v>104</v>
      </c>
      <c r="B109" s="560" t="s">
        <v>277</v>
      </c>
      <c r="C109" s="560" t="s">
        <v>462</v>
      </c>
      <c r="D109" s="560">
        <v>1893</v>
      </c>
      <c r="E109" s="560">
        <v>361</v>
      </c>
      <c r="F109" s="560">
        <v>8</v>
      </c>
      <c r="G109" s="560" t="s">
        <v>34</v>
      </c>
      <c r="H109" s="566">
        <v>4628.2051282051279</v>
      </c>
      <c r="I109" s="567" t="s">
        <v>464</v>
      </c>
      <c r="J109" s="568" t="s">
        <v>288</v>
      </c>
      <c r="L109" s="373">
        <v>1</v>
      </c>
    </row>
    <row r="110" spans="1:12">
      <c r="A110" s="565">
        <v>105</v>
      </c>
      <c r="B110" s="560" t="s">
        <v>277</v>
      </c>
      <c r="C110" s="560" t="s">
        <v>462</v>
      </c>
      <c r="D110" s="560">
        <v>1840</v>
      </c>
      <c r="E110" s="560">
        <v>278</v>
      </c>
      <c r="F110" s="560">
        <v>12</v>
      </c>
      <c r="G110" s="560" t="str">
        <f>G107</f>
        <v>węgiel</v>
      </c>
      <c r="H110" s="566">
        <v>7.7980364656381491</v>
      </c>
      <c r="I110" s="567" t="s">
        <v>464</v>
      </c>
      <c r="J110" s="568" t="s">
        <v>476</v>
      </c>
      <c r="L110" s="373">
        <v>1</v>
      </c>
    </row>
    <row r="111" spans="1:12">
      <c r="A111" s="565">
        <v>106</v>
      </c>
      <c r="B111" s="560" t="s">
        <v>277</v>
      </c>
      <c r="C111" s="560" t="s">
        <v>462</v>
      </c>
      <c r="D111" s="560">
        <v>1938</v>
      </c>
      <c r="E111" s="560">
        <v>233</v>
      </c>
      <c r="F111" s="560">
        <v>10</v>
      </c>
      <c r="G111" s="560" t="str">
        <f t="shared" ref="G111:G131" si="1">G108</f>
        <v>węgiel</v>
      </c>
      <c r="H111" s="566">
        <v>6.5357643758765782</v>
      </c>
      <c r="I111" s="567" t="s">
        <v>464</v>
      </c>
      <c r="J111" s="568" t="s">
        <v>288</v>
      </c>
      <c r="L111" s="373">
        <v>1</v>
      </c>
    </row>
    <row r="112" spans="1:12">
      <c r="A112" s="565">
        <v>107</v>
      </c>
      <c r="B112" s="560" t="s">
        <v>277</v>
      </c>
      <c r="C112" s="560" t="s">
        <v>462</v>
      </c>
      <c r="D112" s="560">
        <v>1906</v>
      </c>
      <c r="E112" s="560">
        <v>464</v>
      </c>
      <c r="F112" s="560">
        <v>15</v>
      </c>
      <c r="G112" s="560" t="str">
        <f t="shared" si="1"/>
        <v>gaz</v>
      </c>
      <c r="H112" s="566">
        <v>5948.7179487179483</v>
      </c>
      <c r="I112" s="567" t="s">
        <v>464</v>
      </c>
      <c r="J112" s="568" t="s">
        <v>288</v>
      </c>
      <c r="L112" s="373">
        <v>1</v>
      </c>
    </row>
    <row r="113" spans="1:12">
      <c r="A113" s="565">
        <v>108</v>
      </c>
      <c r="B113" s="560" t="s">
        <v>277</v>
      </c>
      <c r="C113" s="560" t="s">
        <v>462</v>
      </c>
      <c r="D113" s="560">
        <v>1890</v>
      </c>
      <c r="E113" s="560">
        <v>491</v>
      </c>
      <c r="F113" s="560">
        <v>20</v>
      </c>
      <c r="G113" s="560" t="str">
        <f t="shared" si="1"/>
        <v>węgiel</v>
      </c>
      <c r="H113" s="566">
        <v>13.772791023842919</v>
      </c>
      <c r="I113" s="567" t="s">
        <v>464</v>
      </c>
      <c r="J113" s="568" t="s">
        <v>288</v>
      </c>
      <c r="L113" s="373">
        <v>1</v>
      </c>
    </row>
    <row r="114" spans="1:12">
      <c r="A114" s="565">
        <v>109</v>
      </c>
      <c r="B114" s="560" t="s">
        <v>277</v>
      </c>
      <c r="C114" s="560" t="s">
        <v>462</v>
      </c>
      <c r="D114" s="560">
        <v>1880</v>
      </c>
      <c r="E114" s="560">
        <v>260</v>
      </c>
      <c r="F114" s="560">
        <v>11</v>
      </c>
      <c r="G114" s="560" t="str">
        <f t="shared" si="1"/>
        <v>węgiel</v>
      </c>
      <c r="H114" s="566">
        <v>7.2931276297335206</v>
      </c>
      <c r="I114" s="567" t="s">
        <v>464</v>
      </c>
      <c r="J114" s="568" t="s">
        <v>288</v>
      </c>
      <c r="L114" s="373">
        <v>1</v>
      </c>
    </row>
    <row r="115" spans="1:12">
      <c r="A115" s="565">
        <v>110</v>
      </c>
      <c r="B115" s="560" t="s">
        <v>277</v>
      </c>
      <c r="C115" s="560" t="s">
        <v>462</v>
      </c>
      <c r="D115" s="560">
        <v>1860</v>
      </c>
      <c r="E115" s="560">
        <v>231</v>
      </c>
      <c r="F115" s="560">
        <v>8</v>
      </c>
      <c r="G115" s="560" t="str">
        <f t="shared" si="1"/>
        <v>gaz</v>
      </c>
      <c r="H115" s="566">
        <v>2961.5384615384614</v>
      </c>
      <c r="I115" s="567" t="s">
        <v>464</v>
      </c>
      <c r="J115" s="568" t="s">
        <v>288</v>
      </c>
      <c r="L115" s="373">
        <v>1</v>
      </c>
    </row>
    <row r="116" spans="1:12">
      <c r="A116" s="565">
        <v>111</v>
      </c>
      <c r="B116" s="560" t="s">
        <v>277</v>
      </c>
      <c r="C116" s="560" t="s">
        <v>462</v>
      </c>
      <c r="D116" s="560">
        <v>1850</v>
      </c>
      <c r="E116" s="560">
        <v>322</v>
      </c>
      <c r="F116" s="560">
        <v>15</v>
      </c>
      <c r="G116" s="560" t="str">
        <f t="shared" si="1"/>
        <v>węgiel</v>
      </c>
      <c r="H116" s="566">
        <v>9.0322580645161299</v>
      </c>
      <c r="I116" s="567" t="s">
        <v>464</v>
      </c>
      <c r="J116" s="568" t="s">
        <v>288</v>
      </c>
      <c r="L116" s="373">
        <v>1</v>
      </c>
    </row>
    <row r="117" spans="1:12">
      <c r="A117" s="565">
        <v>112</v>
      </c>
      <c r="B117" s="560" t="s">
        <v>277</v>
      </c>
      <c r="C117" s="560" t="s">
        <v>462</v>
      </c>
      <c r="D117" s="560">
        <v>1920</v>
      </c>
      <c r="E117" s="560">
        <v>287</v>
      </c>
      <c r="F117" s="560">
        <v>14</v>
      </c>
      <c r="G117" s="560" t="s">
        <v>34</v>
      </c>
      <c r="H117" s="566">
        <v>3679.4871794871797</v>
      </c>
      <c r="I117" s="567" t="s">
        <v>464</v>
      </c>
      <c r="J117" s="568" t="s">
        <v>288</v>
      </c>
      <c r="L117" s="373">
        <v>1</v>
      </c>
    </row>
    <row r="118" spans="1:12">
      <c r="A118" s="565">
        <v>113</v>
      </c>
      <c r="B118" s="560" t="s">
        <v>277</v>
      </c>
      <c r="C118" s="560" t="s">
        <v>462</v>
      </c>
      <c r="D118" s="560">
        <v>1920</v>
      </c>
      <c r="E118" s="560">
        <v>467</v>
      </c>
      <c r="F118" s="560">
        <v>17</v>
      </c>
      <c r="G118" s="560" t="str">
        <f t="shared" si="1"/>
        <v>gaz</v>
      </c>
      <c r="H118" s="566">
        <v>5987.1794871794873</v>
      </c>
      <c r="I118" s="567" t="s">
        <v>464</v>
      </c>
      <c r="J118" s="568" t="s">
        <v>288</v>
      </c>
      <c r="L118" s="373">
        <v>1</v>
      </c>
    </row>
    <row r="119" spans="1:12">
      <c r="A119" s="565">
        <v>114</v>
      </c>
      <c r="B119" s="560" t="s">
        <v>277</v>
      </c>
      <c r="C119" s="560" t="s">
        <v>462</v>
      </c>
      <c r="D119" s="560">
        <v>1910</v>
      </c>
      <c r="E119" s="560">
        <v>360</v>
      </c>
      <c r="F119" s="560">
        <v>12</v>
      </c>
      <c r="G119" s="560" t="str">
        <f t="shared" si="1"/>
        <v>węgiel</v>
      </c>
      <c r="H119" s="566">
        <v>10.098176718092567</v>
      </c>
      <c r="I119" s="567" t="s">
        <v>464</v>
      </c>
      <c r="J119" s="568" t="s">
        <v>288</v>
      </c>
      <c r="L119" s="373">
        <v>1</v>
      </c>
    </row>
    <row r="120" spans="1:12">
      <c r="A120" s="565">
        <v>115</v>
      </c>
      <c r="B120" s="560" t="s">
        <v>277</v>
      </c>
      <c r="C120" s="560" t="s">
        <v>462</v>
      </c>
      <c r="D120" s="560">
        <v>1900</v>
      </c>
      <c r="E120" s="560">
        <v>181</v>
      </c>
      <c r="F120" s="560">
        <v>8</v>
      </c>
      <c r="G120" s="560" t="s">
        <v>34</v>
      </c>
      <c r="H120" s="566">
        <v>2320.5128205128203</v>
      </c>
      <c r="I120" s="567" t="s">
        <v>464</v>
      </c>
      <c r="J120" s="568" t="s">
        <v>288</v>
      </c>
      <c r="L120" s="373">
        <v>1</v>
      </c>
    </row>
    <row r="121" spans="1:12">
      <c r="A121" s="565">
        <v>116</v>
      </c>
      <c r="B121" s="560" t="s">
        <v>278</v>
      </c>
      <c r="C121" s="560" t="s">
        <v>462</v>
      </c>
      <c r="D121" s="560">
        <v>1880</v>
      </c>
      <c r="E121" s="560">
        <v>165</v>
      </c>
      <c r="F121" s="560">
        <v>5</v>
      </c>
      <c r="G121" s="560" t="str">
        <f t="shared" si="1"/>
        <v>gaz</v>
      </c>
      <c r="H121" s="566">
        <v>2115.3846153846152</v>
      </c>
      <c r="I121" s="567" t="s">
        <v>464</v>
      </c>
      <c r="J121" s="568" t="s">
        <v>288</v>
      </c>
      <c r="L121" s="373">
        <v>1</v>
      </c>
    </row>
    <row r="122" spans="1:12">
      <c r="A122" s="565">
        <v>117</v>
      </c>
      <c r="B122" s="560" t="s">
        <v>277</v>
      </c>
      <c r="C122" s="560" t="s">
        <v>462</v>
      </c>
      <c r="D122" s="560">
        <v>1880</v>
      </c>
      <c r="E122" s="560">
        <v>176</v>
      </c>
      <c r="F122" s="560">
        <v>8</v>
      </c>
      <c r="G122" s="560" t="str">
        <f t="shared" si="1"/>
        <v>węgiel</v>
      </c>
      <c r="H122" s="566">
        <v>4.9368863955119213</v>
      </c>
      <c r="I122" s="567" t="s">
        <v>464</v>
      </c>
      <c r="J122" s="568" t="s">
        <v>288</v>
      </c>
      <c r="L122" s="373">
        <v>1</v>
      </c>
    </row>
    <row r="123" spans="1:12">
      <c r="A123" s="565">
        <v>118</v>
      </c>
      <c r="B123" s="560" t="s">
        <v>278</v>
      </c>
      <c r="C123" s="560" t="s">
        <v>462</v>
      </c>
      <c r="D123" s="560">
        <v>1820</v>
      </c>
      <c r="E123" s="560">
        <v>242</v>
      </c>
      <c r="F123" s="560">
        <v>5</v>
      </c>
      <c r="G123" s="560" t="s">
        <v>34</v>
      </c>
      <c r="H123" s="566">
        <v>3102.5641025641025</v>
      </c>
      <c r="I123" s="567" t="s">
        <v>464</v>
      </c>
      <c r="J123" s="568" t="s">
        <v>288</v>
      </c>
      <c r="L123" s="373">
        <v>1</v>
      </c>
    </row>
    <row r="124" spans="1:12">
      <c r="A124" s="565">
        <v>119</v>
      </c>
      <c r="B124" s="560" t="s">
        <v>278</v>
      </c>
      <c r="C124" s="560" t="s">
        <v>462</v>
      </c>
      <c r="D124" s="560">
        <v>1910</v>
      </c>
      <c r="E124" s="560">
        <v>167</v>
      </c>
      <c r="F124" s="560">
        <v>9</v>
      </c>
      <c r="G124" s="560" t="str">
        <f t="shared" si="1"/>
        <v>gaz</v>
      </c>
      <c r="H124" s="566">
        <v>2141.0256410256411</v>
      </c>
      <c r="I124" s="567" t="s">
        <v>464</v>
      </c>
      <c r="J124" s="568" t="s">
        <v>288</v>
      </c>
      <c r="L124" s="373">
        <v>1</v>
      </c>
    </row>
    <row r="125" spans="1:12">
      <c r="A125" s="565">
        <v>120</v>
      </c>
      <c r="B125" s="560" t="s">
        <v>277</v>
      </c>
      <c r="C125" s="560" t="s">
        <v>462</v>
      </c>
      <c r="D125" s="560">
        <v>1891</v>
      </c>
      <c r="E125" s="560">
        <v>269</v>
      </c>
      <c r="F125" s="560">
        <v>14</v>
      </c>
      <c r="G125" s="560" t="str">
        <f t="shared" si="1"/>
        <v>węgiel</v>
      </c>
      <c r="H125" s="566">
        <v>7.5455820476858344</v>
      </c>
      <c r="I125" s="567" t="s">
        <v>464</v>
      </c>
      <c r="J125" s="568" t="s">
        <v>288</v>
      </c>
      <c r="L125" s="373">
        <v>1</v>
      </c>
    </row>
    <row r="126" spans="1:12">
      <c r="A126" s="565">
        <v>121</v>
      </c>
      <c r="B126" s="560" t="s">
        <v>277</v>
      </c>
      <c r="C126" s="560" t="s">
        <v>462</v>
      </c>
      <c r="D126" s="560">
        <v>1864</v>
      </c>
      <c r="E126" s="560">
        <v>375</v>
      </c>
      <c r="F126" s="560">
        <v>16</v>
      </c>
      <c r="G126" s="560" t="s">
        <v>34</v>
      </c>
      <c r="H126" s="566">
        <v>4807.6923076923076</v>
      </c>
      <c r="I126" s="567" t="s">
        <v>464</v>
      </c>
      <c r="J126" s="568" t="s">
        <v>288</v>
      </c>
      <c r="L126" s="373">
        <v>1</v>
      </c>
    </row>
    <row r="127" spans="1:12">
      <c r="A127" s="565">
        <v>122</v>
      </c>
      <c r="B127" s="560" t="s">
        <v>277</v>
      </c>
      <c r="C127" s="560" t="s">
        <v>462</v>
      </c>
      <c r="D127" s="560">
        <v>1967</v>
      </c>
      <c r="E127" s="560">
        <v>891</v>
      </c>
      <c r="F127" s="560">
        <v>36</v>
      </c>
      <c r="G127" s="560" t="str">
        <f t="shared" si="1"/>
        <v>gaz</v>
      </c>
      <c r="H127" s="566">
        <v>11423.076923076924</v>
      </c>
      <c r="I127" s="567" t="s">
        <v>464</v>
      </c>
      <c r="J127" s="568" t="s">
        <v>288</v>
      </c>
      <c r="L127" s="373">
        <v>1</v>
      </c>
    </row>
    <row r="128" spans="1:12">
      <c r="A128" s="565">
        <v>123</v>
      </c>
      <c r="B128" s="560" t="s">
        <v>277</v>
      </c>
      <c r="C128" s="560" t="s">
        <v>462</v>
      </c>
      <c r="D128" s="560">
        <v>1690</v>
      </c>
      <c r="E128" s="560">
        <v>525</v>
      </c>
      <c r="F128" s="560">
        <v>14</v>
      </c>
      <c r="G128" s="560" t="str">
        <f t="shared" si="1"/>
        <v>węgiel</v>
      </c>
      <c r="H128" s="566">
        <v>14.726507713884994</v>
      </c>
      <c r="I128" s="567" t="s">
        <v>464</v>
      </c>
      <c r="J128" s="568" t="s">
        <v>474</v>
      </c>
      <c r="L128" s="373">
        <v>1</v>
      </c>
    </row>
    <row r="129" spans="1:12">
      <c r="A129" s="565">
        <v>124</v>
      </c>
      <c r="B129" s="560" t="s">
        <v>278</v>
      </c>
      <c r="C129" s="560" t="s">
        <v>462</v>
      </c>
      <c r="D129" s="560">
        <v>1670</v>
      </c>
      <c r="E129" s="560">
        <v>141</v>
      </c>
      <c r="F129" s="560">
        <v>3</v>
      </c>
      <c r="G129" s="560" t="s">
        <v>34</v>
      </c>
      <c r="H129" s="566">
        <v>1807.6923076923076</v>
      </c>
      <c r="I129" s="567" t="s">
        <v>464</v>
      </c>
      <c r="J129" s="568" t="s">
        <v>288</v>
      </c>
      <c r="L129" s="373">
        <v>1</v>
      </c>
    </row>
    <row r="130" spans="1:12">
      <c r="A130" s="565">
        <v>125</v>
      </c>
      <c r="B130" s="560" t="s">
        <v>277</v>
      </c>
      <c r="C130" s="560" t="s">
        <v>462</v>
      </c>
      <c r="D130" s="560">
        <v>1910</v>
      </c>
      <c r="E130" s="560">
        <v>333</v>
      </c>
      <c r="F130" s="560">
        <v>20</v>
      </c>
      <c r="G130" s="560" t="str">
        <f t="shared" si="1"/>
        <v>gaz</v>
      </c>
      <c r="H130" s="566">
        <v>4269.2307692307695</v>
      </c>
      <c r="I130" s="567" t="s">
        <v>464</v>
      </c>
      <c r="J130" s="568" t="s">
        <v>474</v>
      </c>
      <c r="L130" s="373">
        <v>1</v>
      </c>
    </row>
    <row r="131" spans="1:12" ht="21">
      <c r="A131" s="565">
        <v>126</v>
      </c>
      <c r="B131" s="560" t="s">
        <v>277</v>
      </c>
      <c r="C131" s="560" t="s">
        <v>462</v>
      </c>
      <c r="D131" s="560">
        <v>1965</v>
      </c>
      <c r="E131" s="560">
        <v>1977</v>
      </c>
      <c r="F131" s="560">
        <v>49</v>
      </c>
      <c r="G131" s="560" t="str">
        <f t="shared" si="1"/>
        <v>węgiel</v>
      </c>
      <c r="H131" s="566">
        <v>55.455820476858349</v>
      </c>
      <c r="I131" s="567" t="s">
        <v>464</v>
      </c>
      <c r="J131" s="568" t="s">
        <v>477</v>
      </c>
      <c r="L131" s="373">
        <v>1</v>
      </c>
    </row>
    <row r="132" spans="1:12">
      <c r="A132" s="565">
        <v>127</v>
      </c>
      <c r="B132" s="560" t="s">
        <v>277</v>
      </c>
      <c r="C132" s="560" t="s">
        <v>462</v>
      </c>
      <c r="D132" s="560">
        <v>1910</v>
      </c>
      <c r="E132" s="560">
        <v>224</v>
      </c>
      <c r="F132" s="560">
        <v>8</v>
      </c>
      <c r="G132" s="560" t="s">
        <v>34</v>
      </c>
      <c r="H132" s="566">
        <v>2871.7948717948716</v>
      </c>
      <c r="I132" s="567" t="s">
        <v>464</v>
      </c>
      <c r="J132" s="568" t="s">
        <v>474</v>
      </c>
      <c r="L132" s="373">
        <v>1</v>
      </c>
    </row>
    <row r="133" spans="1:12">
      <c r="A133" s="565">
        <v>128</v>
      </c>
      <c r="B133" s="560" t="s">
        <v>277</v>
      </c>
      <c r="C133" s="560" t="s">
        <v>462</v>
      </c>
      <c r="D133" s="560">
        <v>1910</v>
      </c>
      <c r="E133" s="560">
        <v>277</v>
      </c>
      <c r="F133" s="560">
        <v>15</v>
      </c>
      <c r="G133" s="560" t="s">
        <v>34</v>
      </c>
      <c r="H133" s="566">
        <v>3551.2820512820513</v>
      </c>
      <c r="I133" s="567" t="s">
        <v>464</v>
      </c>
      <c r="J133" s="568" t="s">
        <v>474</v>
      </c>
      <c r="L133" s="373">
        <v>1</v>
      </c>
    </row>
    <row r="134" spans="1:12">
      <c r="A134" s="565">
        <v>129</v>
      </c>
      <c r="B134" s="560" t="s">
        <v>277</v>
      </c>
      <c r="C134" s="560" t="s">
        <v>462</v>
      </c>
      <c r="D134" s="560">
        <v>1920</v>
      </c>
      <c r="E134" s="560">
        <v>987</v>
      </c>
      <c r="F134" s="560">
        <v>53</v>
      </c>
      <c r="G134" s="560">
        <f>G94</f>
        <v>0</v>
      </c>
      <c r="H134" s="566">
        <v>376.86139747995418</v>
      </c>
      <c r="I134" s="567" t="s">
        <v>464</v>
      </c>
      <c r="J134" s="568" t="s">
        <v>288</v>
      </c>
      <c r="L134" s="373">
        <v>1</v>
      </c>
    </row>
    <row r="135" spans="1:12">
      <c r="A135" s="565">
        <v>130</v>
      </c>
      <c r="B135" s="560" t="s">
        <v>277</v>
      </c>
      <c r="C135" s="560" t="s">
        <v>462</v>
      </c>
      <c r="D135" s="560">
        <v>1920</v>
      </c>
      <c r="E135" s="560">
        <v>340</v>
      </c>
      <c r="F135" s="560">
        <v>16</v>
      </c>
      <c r="G135" s="560">
        <f>G134</f>
        <v>0</v>
      </c>
      <c r="H135" s="566">
        <v>129.8205421916762</v>
      </c>
      <c r="I135" s="567" t="s">
        <v>464</v>
      </c>
      <c r="J135" s="568" t="s">
        <v>288</v>
      </c>
      <c r="L135" s="373">
        <v>1</v>
      </c>
    </row>
    <row r="136" spans="1:12" ht="21">
      <c r="A136" s="565">
        <v>131</v>
      </c>
      <c r="B136" s="560" t="s">
        <v>278</v>
      </c>
      <c r="C136" s="560" t="s">
        <v>462</v>
      </c>
      <c r="D136" s="560">
        <v>1920</v>
      </c>
      <c r="E136" s="560">
        <v>83</v>
      </c>
      <c r="F136" s="560">
        <v>5</v>
      </c>
      <c r="G136" s="560">
        <f t="shared" ref="G136:G138" si="2">G135</f>
        <v>0</v>
      </c>
      <c r="H136" s="566">
        <v>31.691485299732719</v>
      </c>
      <c r="I136" s="567" t="s">
        <v>464</v>
      </c>
      <c r="J136" s="568" t="s">
        <v>478</v>
      </c>
      <c r="L136" s="373">
        <v>1</v>
      </c>
    </row>
    <row r="137" spans="1:12">
      <c r="A137" s="565">
        <v>132</v>
      </c>
      <c r="B137" s="560" t="s">
        <v>277</v>
      </c>
      <c r="C137" s="560" t="s">
        <v>462</v>
      </c>
      <c r="D137" s="560">
        <v>1880</v>
      </c>
      <c r="E137" s="560">
        <v>232</v>
      </c>
      <c r="F137" s="560">
        <v>11</v>
      </c>
      <c r="G137" s="560">
        <f t="shared" si="2"/>
        <v>0</v>
      </c>
      <c r="H137" s="566">
        <v>88.583428789614345</v>
      </c>
      <c r="I137" s="567" t="s">
        <v>479</v>
      </c>
      <c r="J137" s="568" t="s">
        <v>288</v>
      </c>
      <c r="L137" s="373">
        <v>1</v>
      </c>
    </row>
    <row r="138" spans="1:12">
      <c r="A138" s="565">
        <v>133</v>
      </c>
      <c r="B138" s="560" t="s">
        <v>277</v>
      </c>
      <c r="C138" s="560" t="s">
        <v>462</v>
      </c>
      <c r="D138" s="560">
        <v>1905</v>
      </c>
      <c r="E138" s="560">
        <v>410</v>
      </c>
      <c r="F138" s="560">
        <v>22</v>
      </c>
      <c r="G138" s="560">
        <f t="shared" si="2"/>
        <v>0</v>
      </c>
      <c r="H138" s="566">
        <v>156.54830087819778</v>
      </c>
      <c r="I138" s="567" t="s">
        <v>464</v>
      </c>
      <c r="J138" s="568" t="s">
        <v>288</v>
      </c>
      <c r="L138" s="373">
        <v>1</v>
      </c>
    </row>
    <row r="139" spans="1:12">
      <c r="A139" s="565">
        <v>134</v>
      </c>
      <c r="B139" s="560" t="s">
        <v>277</v>
      </c>
      <c r="C139" s="560" t="s">
        <v>462</v>
      </c>
      <c r="D139" s="560">
        <v>1913</v>
      </c>
      <c r="E139" s="560">
        <v>574</v>
      </c>
      <c r="F139" s="560">
        <v>24</v>
      </c>
      <c r="G139" s="560" t="s">
        <v>34</v>
      </c>
      <c r="H139" s="566">
        <v>7358.9743589743593</v>
      </c>
      <c r="I139" s="567" t="s">
        <v>464</v>
      </c>
      <c r="J139" s="568" t="s">
        <v>288</v>
      </c>
      <c r="L139" s="373">
        <v>1</v>
      </c>
    </row>
    <row r="140" spans="1:12">
      <c r="A140" s="565">
        <v>135</v>
      </c>
      <c r="B140" s="560" t="s">
        <v>278</v>
      </c>
      <c r="C140" s="560" t="s">
        <v>462</v>
      </c>
      <c r="D140" s="560">
        <v>1880</v>
      </c>
      <c r="E140" s="560">
        <v>91</v>
      </c>
      <c r="F140" s="560">
        <v>2</v>
      </c>
      <c r="G140" s="560" t="str">
        <f>G131</f>
        <v>węgiel</v>
      </c>
      <c r="H140" s="566">
        <v>2.5525946704067324</v>
      </c>
      <c r="I140" s="567" t="s">
        <v>464</v>
      </c>
      <c r="J140" s="568" t="s">
        <v>288</v>
      </c>
      <c r="L140" s="373">
        <v>1</v>
      </c>
    </row>
    <row r="141" spans="1:12">
      <c r="A141" s="565">
        <v>136</v>
      </c>
      <c r="B141" s="560" t="s">
        <v>278</v>
      </c>
      <c r="C141" s="560" t="s">
        <v>462</v>
      </c>
      <c r="D141" s="560">
        <v>1860</v>
      </c>
      <c r="E141" s="560">
        <v>164</v>
      </c>
      <c r="F141" s="560">
        <v>7</v>
      </c>
      <c r="G141" s="560" t="str">
        <f t="shared" ref="G141:G142" si="3">G132</f>
        <v>gaz</v>
      </c>
      <c r="H141" s="566">
        <v>2102.5641025641025</v>
      </c>
      <c r="I141" s="567" t="s">
        <v>464</v>
      </c>
      <c r="J141" s="568" t="s">
        <v>288</v>
      </c>
      <c r="L141" s="373">
        <v>1</v>
      </c>
    </row>
    <row r="142" spans="1:12">
      <c r="A142" s="565">
        <v>137</v>
      </c>
      <c r="B142" s="560" t="s">
        <v>277</v>
      </c>
      <c r="C142" s="560" t="s">
        <v>462</v>
      </c>
      <c r="D142" s="560">
        <v>1890</v>
      </c>
      <c r="E142" s="560">
        <v>289</v>
      </c>
      <c r="F142" s="560">
        <v>9</v>
      </c>
      <c r="G142" s="560" t="str">
        <f t="shared" si="3"/>
        <v>gaz</v>
      </c>
      <c r="H142" s="566">
        <v>3705.1282051282051</v>
      </c>
      <c r="I142" s="567" t="s">
        <v>464</v>
      </c>
      <c r="J142" s="568" t="s">
        <v>476</v>
      </c>
      <c r="L142" s="373">
        <v>1</v>
      </c>
    </row>
    <row r="143" spans="1:12">
      <c r="A143" s="565">
        <v>138</v>
      </c>
      <c r="B143" s="560" t="s">
        <v>278</v>
      </c>
      <c r="C143" s="560" t="s">
        <v>462</v>
      </c>
      <c r="D143" s="560">
        <v>1840</v>
      </c>
      <c r="E143" s="560">
        <v>145</v>
      </c>
      <c r="F143" s="560">
        <v>6</v>
      </c>
      <c r="G143" s="560">
        <f>G136</f>
        <v>0</v>
      </c>
      <c r="H143" s="566">
        <v>55.364642993508966</v>
      </c>
      <c r="I143" s="567" t="s">
        <v>464</v>
      </c>
      <c r="J143" s="568" t="s">
        <v>288</v>
      </c>
      <c r="L143" s="373">
        <v>1</v>
      </c>
    </row>
    <row r="144" spans="1:12">
      <c r="A144" s="565">
        <v>139</v>
      </c>
      <c r="B144" s="560" t="s">
        <v>277</v>
      </c>
      <c r="C144" s="560" t="s">
        <v>462</v>
      </c>
      <c r="D144" s="560">
        <v>1840</v>
      </c>
      <c r="E144" s="560">
        <v>275</v>
      </c>
      <c r="F144" s="560">
        <v>17</v>
      </c>
      <c r="G144" s="560">
        <f>G143</f>
        <v>0</v>
      </c>
      <c r="H144" s="566">
        <v>105.00190912562046</v>
      </c>
      <c r="I144" s="567" t="s">
        <v>464</v>
      </c>
      <c r="J144" s="568" t="s">
        <v>288</v>
      </c>
      <c r="L144" s="373">
        <v>1</v>
      </c>
    </row>
    <row r="145" spans="1:12">
      <c r="A145" s="565">
        <v>140</v>
      </c>
      <c r="B145" s="560" t="s">
        <v>277</v>
      </c>
      <c r="C145" s="560" t="s">
        <v>462</v>
      </c>
      <c r="D145" s="560">
        <v>1900</v>
      </c>
      <c r="E145" s="560">
        <v>1620</v>
      </c>
      <c r="F145" s="560">
        <v>85</v>
      </c>
      <c r="G145" s="560">
        <f t="shared" ref="G145:G148" si="4">G144</f>
        <v>0</v>
      </c>
      <c r="H145" s="566">
        <v>618.5567010309278</v>
      </c>
      <c r="I145" s="567" t="s">
        <v>464</v>
      </c>
      <c r="J145" s="568" t="s">
        <v>288</v>
      </c>
      <c r="L145" s="373">
        <v>1</v>
      </c>
    </row>
    <row r="146" spans="1:12" ht="21">
      <c r="A146" s="565">
        <v>141</v>
      </c>
      <c r="B146" s="560" t="s">
        <v>277</v>
      </c>
      <c r="C146" s="560" t="s">
        <v>462</v>
      </c>
      <c r="D146" s="560">
        <v>1970</v>
      </c>
      <c r="E146" s="560">
        <v>2244</v>
      </c>
      <c r="F146" s="560">
        <v>103</v>
      </c>
      <c r="G146" s="560">
        <f t="shared" si="4"/>
        <v>0</v>
      </c>
      <c r="H146" s="566">
        <v>856.81557846506291</v>
      </c>
      <c r="I146" s="567" t="s">
        <v>480</v>
      </c>
      <c r="J146" s="568" t="s">
        <v>288</v>
      </c>
      <c r="L146" s="373">
        <v>1</v>
      </c>
    </row>
    <row r="147" spans="1:12" ht="21">
      <c r="A147" s="565">
        <v>142</v>
      </c>
      <c r="B147" s="560" t="s">
        <v>277</v>
      </c>
      <c r="C147" s="560" t="s">
        <v>462</v>
      </c>
      <c r="D147" s="560">
        <v>1970</v>
      </c>
      <c r="E147" s="560">
        <v>3373</v>
      </c>
      <c r="F147" s="560">
        <v>129</v>
      </c>
      <c r="G147" s="560">
        <f t="shared" si="4"/>
        <v>0</v>
      </c>
      <c r="H147" s="566">
        <v>1287.8961435662466</v>
      </c>
      <c r="I147" s="567" t="s">
        <v>481</v>
      </c>
      <c r="J147" s="568" t="s">
        <v>288</v>
      </c>
      <c r="L147" s="373">
        <v>1</v>
      </c>
    </row>
    <row r="148" spans="1:12" ht="21">
      <c r="A148" s="565">
        <v>143</v>
      </c>
      <c r="B148" s="560" t="s">
        <v>277</v>
      </c>
      <c r="C148" s="560" t="s">
        <v>462</v>
      </c>
      <c r="D148" s="560">
        <v>1970</v>
      </c>
      <c r="E148" s="560">
        <v>2208</v>
      </c>
      <c r="F148" s="560">
        <v>88</v>
      </c>
      <c r="G148" s="560">
        <f t="shared" si="4"/>
        <v>0</v>
      </c>
      <c r="H148" s="566">
        <v>843.06987399770901</v>
      </c>
      <c r="I148" s="567" t="s">
        <v>481</v>
      </c>
      <c r="J148" s="568" t="s">
        <v>288</v>
      </c>
      <c r="L148" s="373">
        <v>1</v>
      </c>
    </row>
    <row r="149" spans="1:12">
      <c r="A149" s="565">
        <v>144</v>
      </c>
      <c r="B149" s="560" t="s">
        <v>277</v>
      </c>
      <c r="C149" s="560" t="s">
        <v>462</v>
      </c>
      <c r="D149" s="560">
        <v>1905</v>
      </c>
      <c r="E149" s="560">
        <v>225</v>
      </c>
      <c r="F149" s="560">
        <v>12</v>
      </c>
      <c r="G149" s="560" t="str">
        <f>G140</f>
        <v>węgiel</v>
      </c>
      <c r="H149" s="566">
        <v>6.3113604488078545</v>
      </c>
      <c r="I149" s="567" t="s">
        <v>464</v>
      </c>
      <c r="J149" s="568" t="s">
        <v>288</v>
      </c>
      <c r="L149" s="373">
        <v>1</v>
      </c>
    </row>
    <row r="150" spans="1:12">
      <c r="A150" s="565">
        <v>145</v>
      </c>
      <c r="B150" s="560" t="s">
        <v>277</v>
      </c>
      <c r="C150" s="560" t="s">
        <v>462</v>
      </c>
      <c r="D150" s="560">
        <v>1910</v>
      </c>
      <c r="E150" s="560">
        <v>435</v>
      </c>
      <c r="F150" s="560">
        <v>11</v>
      </c>
      <c r="G150" s="560" t="str">
        <f>G149</f>
        <v>węgiel</v>
      </c>
      <c r="H150" s="566">
        <v>12.201963534361852</v>
      </c>
      <c r="I150" s="567" t="s">
        <v>464</v>
      </c>
      <c r="J150" s="568" t="s">
        <v>288</v>
      </c>
      <c r="L150" s="373">
        <v>1</v>
      </c>
    </row>
    <row r="151" spans="1:12">
      <c r="A151" s="565">
        <v>146</v>
      </c>
      <c r="B151" s="560" t="s">
        <v>277</v>
      </c>
      <c r="C151" s="560" t="s">
        <v>462</v>
      </c>
      <c r="D151" s="560">
        <v>1940</v>
      </c>
      <c r="E151" s="560">
        <v>425</v>
      </c>
      <c r="F151" s="560">
        <v>10</v>
      </c>
      <c r="G151" s="560" t="str">
        <f t="shared" ref="G151:G159" si="5">G150</f>
        <v>węgiel</v>
      </c>
      <c r="H151" s="566">
        <v>11.921458625525947</v>
      </c>
      <c r="I151" s="567" t="s">
        <v>464</v>
      </c>
      <c r="J151" s="568" t="s">
        <v>288</v>
      </c>
      <c r="L151" s="373">
        <v>1</v>
      </c>
    </row>
    <row r="152" spans="1:12">
      <c r="A152" s="565">
        <v>147</v>
      </c>
      <c r="B152" s="560" t="s">
        <v>277</v>
      </c>
      <c r="C152" s="560" t="s">
        <v>462</v>
      </c>
      <c r="D152" s="560">
        <v>1974</v>
      </c>
      <c r="E152" s="560">
        <v>299</v>
      </c>
      <c r="F152" s="560">
        <v>11</v>
      </c>
      <c r="G152" s="560" t="str">
        <f t="shared" si="5"/>
        <v>węgiel</v>
      </c>
      <c r="H152" s="566">
        <v>8.387096774193548</v>
      </c>
      <c r="I152" s="567" t="s">
        <v>464</v>
      </c>
      <c r="J152" s="568" t="s">
        <v>288</v>
      </c>
      <c r="L152" s="373">
        <v>1</v>
      </c>
    </row>
    <row r="153" spans="1:12">
      <c r="A153" s="565">
        <v>148</v>
      </c>
      <c r="B153" s="560" t="s">
        <v>277</v>
      </c>
      <c r="C153" s="560" t="s">
        <v>462</v>
      </c>
      <c r="D153" s="560">
        <v>1932</v>
      </c>
      <c r="E153" s="560">
        <v>668</v>
      </c>
      <c r="F153" s="560">
        <v>18</v>
      </c>
      <c r="G153" s="560" t="str">
        <f t="shared" si="5"/>
        <v>węgiel</v>
      </c>
      <c r="H153" s="566">
        <v>18.73772791023843</v>
      </c>
      <c r="I153" s="567" t="s">
        <v>464</v>
      </c>
      <c r="J153" s="568" t="s">
        <v>288</v>
      </c>
      <c r="L153" s="373">
        <v>1</v>
      </c>
    </row>
    <row r="154" spans="1:12">
      <c r="A154" s="565">
        <v>149</v>
      </c>
      <c r="B154" s="560" t="s">
        <v>277</v>
      </c>
      <c r="C154" s="560" t="s">
        <v>462</v>
      </c>
      <c r="D154" s="560">
        <v>1932</v>
      </c>
      <c r="E154" s="560">
        <v>604</v>
      </c>
      <c r="F154" s="560">
        <v>17</v>
      </c>
      <c r="G154" s="560" t="str">
        <f t="shared" si="5"/>
        <v>węgiel</v>
      </c>
      <c r="H154" s="566">
        <v>16.94249649368864</v>
      </c>
      <c r="I154" s="567" t="s">
        <v>482</v>
      </c>
      <c r="J154" s="568" t="s">
        <v>468</v>
      </c>
      <c r="L154" s="373">
        <v>1</v>
      </c>
    </row>
    <row r="155" spans="1:12">
      <c r="A155" s="565">
        <v>150</v>
      </c>
      <c r="B155" s="560" t="s">
        <v>278</v>
      </c>
      <c r="C155" s="560" t="s">
        <v>462</v>
      </c>
      <c r="D155" s="560">
        <v>1900</v>
      </c>
      <c r="E155" s="560">
        <v>239</v>
      </c>
      <c r="F155" s="560">
        <v>3</v>
      </c>
      <c r="G155" s="560" t="str">
        <f>G154</f>
        <v>węgiel</v>
      </c>
      <c r="H155" s="566">
        <v>6.7040673211781208</v>
      </c>
      <c r="I155" s="567" t="s">
        <v>464</v>
      </c>
      <c r="J155" s="568" t="s">
        <v>288</v>
      </c>
      <c r="L155" s="373">
        <v>1</v>
      </c>
    </row>
    <row r="156" spans="1:12">
      <c r="A156" s="565">
        <v>151</v>
      </c>
      <c r="B156" s="560" t="s">
        <v>277</v>
      </c>
      <c r="C156" s="560" t="s">
        <v>462</v>
      </c>
      <c r="D156" s="560">
        <v>1880</v>
      </c>
      <c r="E156" s="560">
        <v>510</v>
      </c>
      <c r="F156" s="560">
        <v>14</v>
      </c>
      <c r="G156" s="560" t="str">
        <f t="shared" si="5"/>
        <v>węgiel</v>
      </c>
      <c r="H156" s="566">
        <v>14.305750350631136</v>
      </c>
      <c r="I156" s="567" t="s">
        <v>464</v>
      </c>
      <c r="J156" s="568" t="s">
        <v>288</v>
      </c>
      <c r="L156" s="373">
        <v>1</v>
      </c>
    </row>
    <row r="157" spans="1:12">
      <c r="A157" s="565">
        <v>152</v>
      </c>
      <c r="B157" s="560" t="s">
        <v>277</v>
      </c>
      <c r="C157" s="560" t="s">
        <v>462</v>
      </c>
      <c r="D157" s="560">
        <v>1870</v>
      </c>
      <c r="E157" s="560">
        <v>298</v>
      </c>
      <c r="F157" s="560">
        <v>9</v>
      </c>
      <c r="G157" s="560" t="str">
        <f t="shared" si="5"/>
        <v>węgiel</v>
      </c>
      <c r="H157" s="566">
        <v>8.3590462833099579</v>
      </c>
      <c r="I157" s="567" t="s">
        <v>464</v>
      </c>
      <c r="J157" s="568" t="s">
        <v>288</v>
      </c>
      <c r="L157" s="373">
        <v>1</v>
      </c>
    </row>
    <row r="158" spans="1:12">
      <c r="A158" s="565">
        <v>153</v>
      </c>
      <c r="B158" s="560" t="s">
        <v>277</v>
      </c>
      <c r="C158" s="560" t="s">
        <v>462</v>
      </c>
      <c r="D158" s="560">
        <v>1801</v>
      </c>
      <c r="E158" s="560">
        <v>497</v>
      </c>
      <c r="F158" s="560">
        <v>30</v>
      </c>
      <c r="G158" s="560" t="str">
        <f t="shared" si="5"/>
        <v>węgiel</v>
      </c>
      <c r="H158" s="566">
        <v>13.941093969144461</v>
      </c>
      <c r="I158" s="567" t="s">
        <v>463</v>
      </c>
      <c r="J158" s="568" t="s">
        <v>288</v>
      </c>
      <c r="L158" s="373">
        <v>1</v>
      </c>
    </row>
    <row r="159" spans="1:12">
      <c r="A159" s="565">
        <v>154</v>
      </c>
      <c r="B159" s="560" t="s">
        <v>277</v>
      </c>
      <c r="C159" s="560" t="s">
        <v>462</v>
      </c>
      <c r="D159" s="560">
        <v>1900</v>
      </c>
      <c r="E159" s="560">
        <v>244</v>
      </c>
      <c r="F159" s="560">
        <v>16</v>
      </c>
      <c r="G159" s="560" t="str">
        <f t="shared" si="5"/>
        <v>węgiel</v>
      </c>
      <c r="H159" s="566">
        <v>6.8443197755960732</v>
      </c>
      <c r="I159" s="567" t="s">
        <v>464</v>
      </c>
      <c r="J159" s="568" t="s">
        <v>288</v>
      </c>
      <c r="L159" s="373">
        <v>1</v>
      </c>
    </row>
    <row r="160" spans="1:12">
      <c r="A160" s="565">
        <v>155</v>
      </c>
      <c r="B160" s="560" t="s">
        <v>277</v>
      </c>
      <c r="C160" s="560" t="s">
        <v>462</v>
      </c>
      <c r="D160" s="560">
        <v>1906</v>
      </c>
      <c r="E160" s="560">
        <v>351</v>
      </c>
      <c r="F160" s="560">
        <v>13</v>
      </c>
      <c r="G160" s="560" t="s">
        <v>34</v>
      </c>
      <c r="H160" s="566">
        <v>4500</v>
      </c>
      <c r="I160" s="567" t="s">
        <v>464</v>
      </c>
      <c r="J160" s="568" t="s">
        <v>288</v>
      </c>
      <c r="L160" s="373">
        <v>1</v>
      </c>
    </row>
    <row r="161" spans="1:12" ht="21">
      <c r="A161" s="565">
        <v>156</v>
      </c>
      <c r="B161" s="560" t="s">
        <v>277</v>
      </c>
      <c r="C161" s="560" t="s">
        <v>462</v>
      </c>
      <c r="D161" s="560">
        <v>1930</v>
      </c>
      <c r="E161" s="560">
        <v>280</v>
      </c>
      <c r="F161" s="560">
        <v>15</v>
      </c>
      <c r="G161" s="560" t="str">
        <f>G158</f>
        <v>węgiel</v>
      </c>
      <c r="H161" s="566">
        <v>7.8541374474053303</v>
      </c>
      <c r="I161" s="567" t="s">
        <v>483</v>
      </c>
      <c r="J161" s="568" t="s">
        <v>468</v>
      </c>
      <c r="L161" s="373">
        <v>1</v>
      </c>
    </row>
    <row r="162" spans="1:12" ht="21">
      <c r="A162" s="565">
        <v>157</v>
      </c>
      <c r="B162" s="560" t="s">
        <v>277</v>
      </c>
      <c r="C162" s="560" t="s">
        <v>462</v>
      </c>
      <c r="D162" s="560">
        <v>1975</v>
      </c>
      <c r="E162" s="560">
        <v>4584</v>
      </c>
      <c r="F162" s="560">
        <v>195</v>
      </c>
      <c r="G162" s="560" t="s">
        <v>34</v>
      </c>
      <c r="H162" s="566">
        <v>58769.230769230766</v>
      </c>
      <c r="I162" s="567" t="s">
        <v>472</v>
      </c>
      <c r="J162" s="568" t="s">
        <v>468</v>
      </c>
      <c r="L162" s="373">
        <v>1</v>
      </c>
    </row>
    <row r="163" spans="1:12">
      <c r="A163" s="565">
        <v>158</v>
      </c>
      <c r="B163" s="560" t="s">
        <v>277</v>
      </c>
      <c r="C163" s="560" t="s">
        <v>462</v>
      </c>
      <c r="D163" s="560">
        <v>1650</v>
      </c>
      <c r="E163" s="560">
        <v>385</v>
      </c>
      <c r="F163" s="560">
        <v>13</v>
      </c>
      <c r="G163" s="560" t="s">
        <v>34</v>
      </c>
      <c r="H163" s="566">
        <v>4935.8974358974356</v>
      </c>
      <c r="I163" s="567" t="s">
        <v>464</v>
      </c>
      <c r="J163" s="568" t="s">
        <v>288</v>
      </c>
      <c r="L163" s="373">
        <v>1</v>
      </c>
    </row>
    <row r="164" spans="1:12">
      <c r="A164" s="565">
        <v>159</v>
      </c>
      <c r="B164" s="560" t="s">
        <v>277</v>
      </c>
      <c r="C164" s="560" t="s">
        <v>462</v>
      </c>
      <c r="D164" s="560">
        <v>1905</v>
      </c>
      <c r="E164" s="560">
        <v>467</v>
      </c>
      <c r="F164" s="560">
        <v>23</v>
      </c>
      <c r="G164" s="560" t="s">
        <v>34</v>
      </c>
      <c r="H164" s="566">
        <v>5987.1794871794873</v>
      </c>
      <c r="I164" s="567" t="s">
        <v>464</v>
      </c>
      <c r="J164" s="568" t="s">
        <v>288</v>
      </c>
      <c r="L164" s="373">
        <v>1</v>
      </c>
    </row>
    <row r="165" spans="1:12">
      <c r="A165" s="565">
        <v>160</v>
      </c>
      <c r="B165" s="560" t="s">
        <v>277</v>
      </c>
      <c r="C165" s="560" t="s">
        <v>462</v>
      </c>
      <c r="D165" s="560">
        <v>1910</v>
      </c>
      <c r="E165" s="560">
        <v>294</v>
      </c>
      <c r="F165" s="560">
        <v>7</v>
      </c>
      <c r="G165" s="560" t="s">
        <v>34</v>
      </c>
      <c r="H165" s="566">
        <v>3769.2307692307691</v>
      </c>
      <c r="I165" s="567" t="s">
        <v>464</v>
      </c>
      <c r="J165" s="568" t="s">
        <v>288</v>
      </c>
      <c r="L165" s="373">
        <v>1</v>
      </c>
    </row>
    <row r="166" spans="1:12">
      <c r="A166" s="565">
        <v>161</v>
      </c>
      <c r="B166" s="560" t="s">
        <v>277</v>
      </c>
      <c r="C166" s="560" t="s">
        <v>462</v>
      </c>
      <c r="D166" s="560">
        <v>1780</v>
      </c>
      <c r="E166" s="560">
        <v>510</v>
      </c>
      <c r="F166" s="560">
        <v>15</v>
      </c>
      <c r="G166" s="560" t="s">
        <v>34</v>
      </c>
      <c r="H166" s="566">
        <v>6538.4615384615381</v>
      </c>
      <c r="I166" s="567" t="s">
        <v>464</v>
      </c>
      <c r="J166" s="568" t="s">
        <v>288</v>
      </c>
      <c r="L166" s="373">
        <v>1</v>
      </c>
    </row>
    <row r="167" spans="1:12">
      <c r="A167" s="565">
        <v>162</v>
      </c>
      <c r="B167" s="560" t="s">
        <v>277</v>
      </c>
      <c r="C167" s="560" t="s">
        <v>462</v>
      </c>
      <c r="D167" s="560">
        <v>1598</v>
      </c>
      <c r="E167" s="560">
        <v>536</v>
      </c>
      <c r="F167" s="560">
        <v>14</v>
      </c>
      <c r="G167" s="560" t="s">
        <v>34</v>
      </c>
      <c r="H167" s="566">
        <v>6871.7948717948721</v>
      </c>
      <c r="I167" s="567" t="s">
        <v>464</v>
      </c>
      <c r="J167" s="568" t="s">
        <v>288</v>
      </c>
      <c r="L167" s="373">
        <v>1</v>
      </c>
    </row>
    <row r="168" spans="1:12">
      <c r="A168" s="565">
        <v>163</v>
      </c>
      <c r="B168" s="560" t="s">
        <v>278</v>
      </c>
      <c r="C168" s="560" t="s">
        <v>462</v>
      </c>
      <c r="D168" s="560">
        <v>1900</v>
      </c>
      <c r="E168" s="560">
        <v>127</v>
      </c>
      <c r="F168" s="560">
        <v>3</v>
      </c>
      <c r="G168" s="560" t="s">
        <v>34</v>
      </c>
      <c r="H168" s="566">
        <v>1628.2051282051282</v>
      </c>
      <c r="I168" s="567" t="s">
        <v>464</v>
      </c>
      <c r="J168" s="568" t="s">
        <v>288</v>
      </c>
      <c r="L168" s="373">
        <v>1</v>
      </c>
    </row>
    <row r="169" spans="1:12">
      <c r="A169" s="565">
        <v>164</v>
      </c>
      <c r="B169" s="560" t="s">
        <v>278</v>
      </c>
      <c r="C169" s="560" t="s">
        <v>462</v>
      </c>
      <c r="D169" s="560">
        <v>1830</v>
      </c>
      <c r="E169" s="560">
        <v>178</v>
      </c>
      <c r="F169" s="560">
        <v>5</v>
      </c>
      <c r="G169" s="560" t="s">
        <v>34</v>
      </c>
      <c r="H169" s="566">
        <v>2282.0512820512822</v>
      </c>
      <c r="I169" s="567" t="s">
        <v>464</v>
      </c>
      <c r="J169" s="568" t="s">
        <v>288</v>
      </c>
      <c r="L169" s="373">
        <v>1</v>
      </c>
    </row>
    <row r="170" spans="1:12">
      <c r="A170" s="565">
        <v>165</v>
      </c>
      <c r="B170" s="560" t="s">
        <v>277</v>
      </c>
      <c r="C170" s="560" t="s">
        <v>462</v>
      </c>
      <c r="D170" s="560">
        <v>1915</v>
      </c>
      <c r="E170" s="560">
        <v>460</v>
      </c>
      <c r="F170" s="560">
        <v>24</v>
      </c>
      <c r="G170" s="560" t="s">
        <v>34</v>
      </c>
      <c r="H170" s="566">
        <v>5897.4358974358975</v>
      </c>
      <c r="I170" s="567" t="s">
        <v>464</v>
      </c>
      <c r="J170" s="568" t="s">
        <v>288</v>
      </c>
      <c r="L170" s="373">
        <v>1</v>
      </c>
    </row>
    <row r="171" spans="1:12">
      <c r="A171" s="565">
        <v>166</v>
      </c>
      <c r="B171" s="560" t="s">
        <v>277</v>
      </c>
      <c r="C171" s="560" t="s">
        <v>462</v>
      </c>
      <c r="D171" s="560">
        <v>1967</v>
      </c>
      <c r="E171" s="560">
        <v>306</v>
      </c>
      <c r="F171" s="560">
        <v>6</v>
      </c>
      <c r="G171" s="560" t="s">
        <v>34</v>
      </c>
      <c r="H171" s="566">
        <v>3923.0769230769229</v>
      </c>
      <c r="I171" s="567" t="s">
        <v>464</v>
      </c>
      <c r="J171" s="568" t="s">
        <v>288</v>
      </c>
      <c r="L171" s="373">
        <v>1</v>
      </c>
    </row>
    <row r="172" spans="1:12">
      <c r="A172" s="565">
        <v>167</v>
      </c>
      <c r="B172" s="560" t="s">
        <v>277</v>
      </c>
      <c r="C172" s="560" t="s">
        <v>462</v>
      </c>
      <c r="D172" s="560">
        <v>1963</v>
      </c>
      <c r="E172" s="560">
        <v>2412</v>
      </c>
      <c r="F172" s="560">
        <v>64</v>
      </c>
      <c r="G172" s="560" t="s">
        <v>34</v>
      </c>
      <c r="H172" s="566">
        <v>30923.076923076922</v>
      </c>
      <c r="I172" s="567" t="s">
        <v>484</v>
      </c>
      <c r="J172" s="568" t="s">
        <v>468</v>
      </c>
      <c r="L172" s="373">
        <v>1</v>
      </c>
    </row>
    <row r="173" spans="1:12">
      <c r="A173" s="565">
        <v>168</v>
      </c>
      <c r="B173" s="560" t="s">
        <v>277</v>
      </c>
      <c r="C173" s="560" t="s">
        <v>462</v>
      </c>
      <c r="D173" s="560">
        <v>1962</v>
      </c>
      <c r="E173" s="560">
        <v>1513</v>
      </c>
      <c r="F173" s="560">
        <v>38</v>
      </c>
      <c r="G173" s="560" t="s">
        <v>34</v>
      </c>
      <c r="H173" s="566">
        <v>19397.435897435898</v>
      </c>
      <c r="I173" s="567" t="s">
        <v>470</v>
      </c>
      <c r="J173" s="568" t="s">
        <v>468</v>
      </c>
      <c r="L173" s="373">
        <v>1</v>
      </c>
    </row>
    <row r="174" spans="1:12">
      <c r="A174" s="565">
        <v>169</v>
      </c>
      <c r="B174" s="560" t="s">
        <v>277</v>
      </c>
      <c r="C174" s="560" t="s">
        <v>462</v>
      </c>
      <c r="D174" s="560">
        <v>1860</v>
      </c>
      <c r="E174" s="560">
        <v>324</v>
      </c>
      <c r="F174" s="560">
        <v>10</v>
      </c>
      <c r="G174" s="560" t="s">
        <v>34</v>
      </c>
      <c r="H174" s="566">
        <v>4153.8461538461543</v>
      </c>
      <c r="I174" s="567" t="s">
        <v>464</v>
      </c>
      <c r="J174" s="568" t="s">
        <v>288</v>
      </c>
      <c r="L174" s="373">
        <v>1</v>
      </c>
    </row>
    <row r="175" spans="1:12">
      <c r="A175" s="565">
        <v>170</v>
      </c>
      <c r="B175" s="560" t="s">
        <v>277</v>
      </c>
      <c r="C175" s="560" t="s">
        <v>462</v>
      </c>
      <c r="D175" s="560">
        <v>1860</v>
      </c>
      <c r="E175" s="560">
        <v>599</v>
      </c>
      <c r="F175" s="560">
        <v>14</v>
      </c>
      <c r="G175" s="560" t="s">
        <v>34</v>
      </c>
      <c r="H175" s="566">
        <v>7679.4871794871797</v>
      </c>
      <c r="I175" s="567" t="s">
        <v>464</v>
      </c>
      <c r="J175" s="568" t="s">
        <v>288</v>
      </c>
      <c r="L175" s="373">
        <v>1</v>
      </c>
    </row>
    <row r="176" spans="1:12">
      <c r="A176" s="565">
        <v>171</v>
      </c>
      <c r="B176" s="560" t="s">
        <v>277</v>
      </c>
      <c r="C176" s="560" t="s">
        <v>462</v>
      </c>
      <c r="D176" s="560">
        <v>1881</v>
      </c>
      <c r="E176" s="560">
        <v>425</v>
      </c>
      <c r="F176" s="560">
        <v>14</v>
      </c>
      <c r="G176" s="560" t="s">
        <v>34</v>
      </c>
      <c r="H176" s="566">
        <v>5448.7179487179483</v>
      </c>
      <c r="I176" s="567" t="s">
        <v>464</v>
      </c>
      <c r="J176" s="568" t="s">
        <v>288</v>
      </c>
      <c r="L176" s="373">
        <v>1</v>
      </c>
    </row>
    <row r="177" spans="1:12">
      <c r="A177" s="565">
        <v>172</v>
      </c>
      <c r="B177" s="560" t="s">
        <v>277</v>
      </c>
      <c r="C177" s="560" t="s">
        <v>462</v>
      </c>
      <c r="D177" s="560">
        <v>1961</v>
      </c>
      <c r="E177" s="560">
        <v>426</v>
      </c>
      <c r="F177" s="560">
        <v>14</v>
      </c>
      <c r="G177" s="560" t="s">
        <v>34</v>
      </c>
      <c r="H177" s="566">
        <v>5461.5384615384619</v>
      </c>
      <c r="I177" s="567" t="s">
        <v>464</v>
      </c>
      <c r="J177" s="568" t="s">
        <v>288</v>
      </c>
      <c r="L177" s="373">
        <v>1</v>
      </c>
    </row>
    <row r="178" spans="1:12">
      <c r="A178" s="565">
        <v>173</v>
      </c>
      <c r="B178" s="560" t="s">
        <v>277</v>
      </c>
      <c r="C178" s="560" t="s">
        <v>462</v>
      </c>
      <c r="D178" s="560">
        <v>1879</v>
      </c>
      <c r="E178" s="560">
        <v>326</v>
      </c>
      <c r="F178" s="560">
        <v>15</v>
      </c>
      <c r="G178" s="560" t="s">
        <v>34</v>
      </c>
      <c r="H178" s="566">
        <v>4179.4871794871797</v>
      </c>
      <c r="I178" s="567" t="s">
        <v>464</v>
      </c>
      <c r="J178" s="568" t="s">
        <v>288</v>
      </c>
      <c r="L178" s="373">
        <v>1</v>
      </c>
    </row>
    <row r="179" spans="1:12">
      <c r="A179" s="565">
        <v>174</v>
      </c>
      <c r="B179" s="560"/>
      <c r="C179" s="560" t="s">
        <v>462</v>
      </c>
      <c r="D179" s="560">
        <v>1879</v>
      </c>
      <c r="E179" s="560">
        <v>89</v>
      </c>
      <c r="F179" s="560"/>
      <c r="G179" s="560" t="s">
        <v>34</v>
      </c>
      <c r="H179" s="566">
        <v>1141.0256410256411</v>
      </c>
      <c r="I179" s="567" t="s">
        <v>464</v>
      </c>
      <c r="J179" s="568" t="s">
        <v>288</v>
      </c>
      <c r="L179" s="373">
        <v>1</v>
      </c>
    </row>
    <row r="180" spans="1:12">
      <c r="A180" s="565">
        <v>175</v>
      </c>
      <c r="B180" s="560" t="s">
        <v>277</v>
      </c>
      <c r="C180" s="560" t="s">
        <v>462</v>
      </c>
      <c r="D180" s="560">
        <v>1880</v>
      </c>
      <c r="E180" s="560">
        <v>617</v>
      </c>
      <c r="F180" s="560">
        <v>11</v>
      </c>
      <c r="G180" s="560" t="s">
        <v>34</v>
      </c>
      <c r="H180" s="566">
        <v>7910.2564102564102</v>
      </c>
      <c r="I180" s="567" t="s">
        <v>464</v>
      </c>
      <c r="J180" s="568" t="s">
        <v>288</v>
      </c>
      <c r="L180" s="373">
        <v>1</v>
      </c>
    </row>
    <row r="181" spans="1:12">
      <c r="A181" s="565">
        <v>176</v>
      </c>
      <c r="B181" s="560" t="s">
        <v>278</v>
      </c>
      <c r="C181" s="560" t="s">
        <v>462</v>
      </c>
      <c r="D181" s="560">
        <v>1870</v>
      </c>
      <c r="E181" s="560">
        <v>210</v>
      </c>
      <c r="F181" s="560">
        <v>5</v>
      </c>
      <c r="G181" s="560" t="s">
        <v>34</v>
      </c>
      <c r="H181" s="566">
        <v>2692.3076923076924</v>
      </c>
      <c r="I181" s="567" t="s">
        <v>464</v>
      </c>
      <c r="J181" s="568" t="s">
        <v>288</v>
      </c>
      <c r="L181" s="373">
        <v>1</v>
      </c>
    </row>
    <row r="182" spans="1:12">
      <c r="A182" s="565">
        <v>177</v>
      </c>
      <c r="B182" s="560" t="s">
        <v>277</v>
      </c>
      <c r="C182" s="560" t="s">
        <v>462</v>
      </c>
      <c r="D182" s="560">
        <v>1900</v>
      </c>
      <c r="E182" s="560">
        <v>199</v>
      </c>
      <c r="F182" s="560">
        <v>12</v>
      </c>
      <c r="G182" s="560" t="s">
        <v>34</v>
      </c>
      <c r="H182" s="566">
        <v>2551.2820512820513</v>
      </c>
      <c r="I182" s="567" t="s">
        <v>464</v>
      </c>
      <c r="J182" s="568" t="s">
        <v>288</v>
      </c>
      <c r="L182" s="373">
        <v>1</v>
      </c>
    </row>
    <row r="183" spans="1:12">
      <c r="A183" s="565">
        <v>178</v>
      </c>
      <c r="B183" s="560" t="s">
        <v>277</v>
      </c>
      <c r="C183" s="560" t="s">
        <v>462</v>
      </c>
      <c r="D183" s="560">
        <v>1900</v>
      </c>
      <c r="E183" s="560">
        <v>316</v>
      </c>
      <c r="F183" s="560">
        <v>9</v>
      </c>
      <c r="G183" s="560" t="s">
        <v>34</v>
      </c>
      <c r="H183" s="566">
        <v>4051.2820512820513</v>
      </c>
      <c r="I183" s="567" t="s">
        <v>464</v>
      </c>
      <c r="J183" s="568" t="s">
        <v>288</v>
      </c>
      <c r="L183" s="373">
        <v>1</v>
      </c>
    </row>
    <row r="184" spans="1:12">
      <c r="A184" s="565">
        <v>179</v>
      </c>
      <c r="B184" s="560" t="s">
        <v>277</v>
      </c>
      <c r="C184" s="560" t="s">
        <v>462</v>
      </c>
      <c r="D184" s="560">
        <v>1937</v>
      </c>
      <c r="E184" s="560">
        <v>251</v>
      </c>
      <c r="F184" s="560">
        <v>12</v>
      </c>
      <c r="G184" s="560" t="s">
        <v>34</v>
      </c>
      <c r="H184" s="566">
        <v>3217.9487179487178</v>
      </c>
      <c r="I184" s="567" t="s">
        <v>289</v>
      </c>
      <c r="J184" s="568" t="s">
        <v>288</v>
      </c>
      <c r="L184" s="373">
        <v>1</v>
      </c>
    </row>
    <row r="185" spans="1:12">
      <c r="A185" s="565">
        <v>180</v>
      </c>
      <c r="B185" s="560" t="s">
        <v>277</v>
      </c>
      <c r="C185" s="560" t="s">
        <v>462</v>
      </c>
      <c r="D185" s="560">
        <v>1960</v>
      </c>
      <c r="E185" s="560">
        <v>350</v>
      </c>
      <c r="F185" s="560">
        <v>13</v>
      </c>
      <c r="G185" s="560" t="s">
        <v>34</v>
      </c>
      <c r="H185" s="566">
        <v>4487.1794871794873</v>
      </c>
      <c r="I185" s="567" t="s">
        <v>289</v>
      </c>
      <c r="J185" s="568" t="s">
        <v>288</v>
      </c>
      <c r="L185" s="373">
        <v>1</v>
      </c>
    </row>
    <row r="186" spans="1:12">
      <c r="A186" s="565">
        <v>181</v>
      </c>
      <c r="B186" s="560" t="s">
        <v>277</v>
      </c>
      <c r="C186" s="560" t="s">
        <v>462</v>
      </c>
      <c r="D186" s="560">
        <v>1962</v>
      </c>
      <c r="E186" s="560">
        <v>220</v>
      </c>
      <c r="F186" s="560">
        <v>19</v>
      </c>
      <c r="G186" s="560" t="s">
        <v>34</v>
      </c>
      <c r="H186" s="566">
        <v>2820.5128205128203</v>
      </c>
      <c r="I186" s="567" t="s">
        <v>464</v>
      </c>
      <c r="J186" s="568" t="s">
        <v>288</v>
      </c>
      <c r="L186" s="373">
        <v>1</v>
      </c>
    </row>
    <row r="187" spans="1:12">
      <c r="A187" s="565">
        <v>182</v>
      </c>
      <c r="B187" s="560" t="s">
        <v>277</v>
      </c>
      <c r="C187" s="560" t="s">
        <v>462</v>
      </c>
      <c r="D187" s="560">
        <v>1910</v>
      </c>
      <c r="E187" s="560">
        <v>271</v>
      </c>
      <c r="F187" s="560">
        <v>11</v>
      </c>
      <c r="G187" s="560" t="s">
        <v>34</v>
      </c>
      <c r="H187" s="566">
        <v>3474.3589743589741</v>
      </c>
      <c r="I187" s="567" t="s">
        <v>464</v>
      </c>
      <c r="J187" s="568" t="s">
        <v>288</v>
      </c>
      <c r="L187" s="373">
        <v>1</v>
      </c>
    </row>
    <row r="188" spans="1:12">
      <c r="A188" s="565">
        <v>183</v>
      </c>
      <c r="B188" s="560" t="s">
        <v>485</v>
      </c>
      <c r="C188" s="560" t="s">
        <v>462</v>
      </c>
      <c r="D188" s="560">
        <f>D187</f>
        <v>1910</v>
      </c>
      <c r="E188" s="560">
        <v>1053</v>
      </c>
      <c r="F188" s="560" t="s">
        <v>508</v>
      </c>
      <c r="G188" s="560">
        <f>G148</f>
        <v>0</v>
      </c>
      <c r="H188" s="566">
        <v>402.06185567010306</v>
      </c>
      <c r="I188" s="567" t="s">
        <v>464</v>
      </c>
      <c r="J188" s="568" t="s">
        <v>288</v>
      </c>
      <c r="L188" s="373">
        <v>1</v>
      </c>
    </row>
    <row r="189" spans="1:12">
      <c r="A189" s="565">
        <v>184</v>
      </c>
      <c r="B189" s="560" t="s">
        <v>485</v>
      </c>
      <c r="C189" s="560" t="s">
        <v>462</v>
      </c>
      <c r="D189" s="560">
        <v>1981</v>
      </c>
      <c r="E189" s="560">
        <v>231</v>
      </c>
      <c r="F189" s="560" t="s">
        <v>508</v>
      </c>
      <c r="G189" s="560">
        <f>G188</f>
        <v>0</v>
      </c>
      <c r="H189" s="566">
        <v>88.201603665521191</v>
      </c>
      <c r="I189" s="567" t="s">
        <v>486</v>
      </c>
      <c r="J189" s="568" t="s">
        <v>288</v>
      </c>
      <c r="L189" s="373">
        <v>1</v>
      </c>
    </row>
    <row r="190" spans="1:12">
      <c r="A190" s="565">
        <v>185</v>
      </c>
      <c r="B190" s="560" t="s">
        <v>485</v>
      </c>
      <c r="C190" s="560" t="s">
        <v>462</v>
      </c>
      <c r="D190" s="560">
        <v>1979</v>
      </c>
      <c r="E190" s="560">
        <v>865</v>
      </c>
      <c r="F190" s="560" t="s">
        <v>508</v>
      </c>
      <c r="G190" s="560" t="s">
        <v>487</v>
      </c>
      <c r="H190" s="566">
        <v>330.27873234058796</v>
      </c>
      <c r="I190" s="567" t="s">
        <v>464</v>
      </c>
      <c r="J190" s="568" t="s">
        <v>488</v>
      </c>
      <c r="L190" s="373">
        <v>1</v>
      </c>
    </row>
    <row r="191" spans="1:12">
      <c r="A191" s="565">
        <v>186</v>
      </c>
      <c r="B191" s="560" t="s">
        <v>485</v>
      </c>
      <c r="C191" s="560" t="s">
        <v>462</v>
      </c>
      <c r="D191" s="560">
        <v>1983</v>
      </c>
      <c r="E191" s="560">
        <v>231</v>
      </c>
      <c r="F191" s="560" t="s">
        <v>508</v>
      </c>
      <c r="G191" s="560" t="s">
        <v>487</v>
      </c>
      <c r="H191" s="566">
        <v>88.201603665521191</v>
      </c>
      <c r="I191" s="567" t="s">
        <v>486</v>
      </c>
      <c r="J191" s="568" t="s">
        <v>288</v>
      </c>
      <c r="L191" s="373">
        <v>1</v>
      </c>
    </row>
    <row r="192" spans="1:12" ht="21">
      <c r="A192" s="565">
        <v>187</v>
      </c>
      <c r="B192" s="560" t="s">
        <v>277</v>
      </c>
      <c r="C192" s="560" t="s">
        <v>462</v>
      </c>
      <c r="D192" s="560">
        <v>1920</v>
      </c>
      <c r="E192" s="560">
        <v>805</v>
      </c>
      <c r="F192" s="560">
        <v>27</v>
      </c>
      <c r="G192" s="560" t="s">
        <v>34</v>
      </c>
      <c r="H192" s="566">
        <v>10320.51282051282</v>
      </c>
      <c r="I192" s="567" t="s">
        <v>288</v>
      </c>
      <c r="J192" s="568" t="s">
        <v>489</v>
      </c>
      <c r="L192" s="373">
        <v>1</v>
      </c>
    </row>
    <row r="193" spans="1:12">
      <c r="A193" s="565">
        <v>188</v>
      </c>
      <c r="B193" s="560" t="s">
        <v>277</v>
      </c>
      <c r="C193" s="560" t="s">
        <v>462</v>
      </c>
      <c r="D193" s="560">
        <v>1900</v>
      </c>
      <c r="E193" s="560">
        <v>756</v>
      </c>
      <c r="F193" s="560">
        <v>23</v>
      </c>
      <c r="G193" s="560" t="s">
        <v>487</v>
      </c>
      <c r="H193" s="566">
        <v>288.65979381443299</v>
      </c>
      <c r="I193" s="567" t="s">
        <v>464</v>
      </c>
      <c r="J193" s="568" t="s">
        <v>488</v>
      </c>
      <c r="L193" s="373">
        <v>1</v>
      </c>
    </row>
    <row r="194" spans="1:12">
      <c r="A194" s="565">
        <v>189</v>
      </c>
      <c r="B194" s="560" t="s">
        <v>277</v>
      </c>
      <c r="C194" s="560" t="s">
        <v>462</v>
      </c>
      <c r="D194" s="560">
        <v>1960</v>
      </c>
      <c r="E194" s="560">
        <v>3781</v>
      </c>
      <c r="F194" s="560">
        <v>101</v>
      </c>
      <c r="G194" s="560" t="s">
        <v>34</v>
      </c>
      <c r="H194" s="566">
        <v>48474.358974358976</v>
      </c>
      <c r="I194" s="567" t="s">
        <v>464</v>
      </c>
      <c r="J194" s="568" t="s">
        <v>488</v>
      </c>
      <c r="L194" s="373">
        <v>1</v>
      </c>
    </row>
    <row r="195" spans="1:12">
      <c r="A195" s="565">
        <v>190</v>
      </c>
      <c r="B195" s="560" t="s">
        <v>277</v>
      </c>
      <c r="C195" s="560" t="s">
        <v>462</v>
      </c>
      <c r="D195" s="560">
        <v>1962</v>
      </c>
      <c r="E195" s="560">
        <v>1002</v>
      </c>
      <c r="F195" s="560">
        <v>41</v>
      </c>
      <c r="G195" s="560" t="s">
        <v>34</v>
      </c>
      <c r="H195" s="566">
        <v>12846.153846153846</v>
      </c>
      <c r="I195" s="567" t="s">
        <v>490</v>
      </c>
      <c r="J195" s="568" t="s">
        <v>491</v>
      </c>
      <c r="L195" s="373">
        <v>1</v>
      </c>
    </row>
    <row r="196" spans="1:12" ht="21">
      <c r="A196" s="565">
        <v>191</v>
      </c>
      <c r="B196" s="560" t="s">
        <v>277</v>
      </c>
      <c r="C196" s="560" t="s">
        <v>462</v>
      </c>
      <c r="D196" s="560">
        <v>1910</v>
      </c>
      <c r="E196" s="560">
        <v>470</v>
      </c>
      <c r="F196" s="560">
        <v>20</v>
      </c>
      <c r="G196" s="560" t="s">
        <v>34</v>
      </c>
      <c r="H196" s="566">
        <v>6025.6410256410254</v>
      </c>
      <c r="I196" s="567" t="s">
        <v>288</v>
      </c>
      <c r="J196" s="568" t="s">
        <v>489</v>
      </c>
      <c r="L196" s="373">
        <v>1</v>
      </c>
    </row>
    <row r="197" spans="1:12" ht="21">
      <c r="A197" s="565">
        <v>192</v>
      </c>
      <c r="B197" s="560" t="s">
        <v>277</v>
      </c>
      <c r="C197" s="560" t="s">
        <v>462</v>
      </c>
      <c r="D197" s="560">
        <v>1910</v>
      </c>
      <c r="E197" s="560">
        <v>961</v>
      </c>
      <c r="F197" s="560">
        <v>33</v>
      </c>
      <c r="G197" s="560" t="s">
        <v>34</v>
      </c>
      <c r="H197" s="566">
        <v>12320.51282051282</v>
      </c>
      <c r="I197" s="567" t="s">
        <v>288</v>
      </c>
      <c r="J197" s="568" t="s">
        <v>489</v>
      </c>
      <c r="L197" s="373">
        <v>1</v>
      </c>
    </row>
    <row r="198" spans="1:12" ht="21">
      <c r="A198" s="565">
        <v>193</v>
      </c>
      <c r="B198" s="560" t="s">
        <v>277</v>
      </c>
      <c r="C198" s="560" t="s">
        <v>462</v>
      </c>
      <c r="D198" s="560">
        <v>1981</v>
      </c>
      <c r="E198" s="560">
        <v>339</v>
      </c>
      <c r="F198" s="560">
        <v>18</v>
      </c>
      <c r="G198" s="560" t="s">
        <v>34</v>
      </c>
      <c r="H198" s="566">
        <v>4346.1538461538457</v>
      </c>
      <c r="I198" s="567" t="s">
        <v>288</v>
      </c>
      <c r="J198" s="568" t="s">
        <v>489</v>
      </c>
      <c r="L198" s="373">
        <v>1</v>
      </c>
    </row>
    <row r="199" spans="1:12" ht="21">
      <c r="A199" s="565">
        <v>194</v>
      </c>
      <c r="B199" s="560" t="s">
        <v>277</v>
      </c>
      <c r="C199" s="560" t="s">
        <v>462</v>
      </c>
      <c r="D199" s="560">
        <v>1979</v>
      </c>
      <c r="E199" s="560">
        <v>433</v>
      </c>
      <c r="F199" s="560">
        <v>9</v>
      </c>
      <c r="G199" s="560" t="s">
        <v>34</v>
      </c>
      <c r="H199" s="566">
        <v>5551.2820512820517</v>
      </c>
      <c r="I199" s="567" t="s">
        <v>288</v>
      </c>
      <c r="J199" s="568" t="s">
        <v>489</v>
      </c>
      <c r="L199" s="373">
        <v>1</v>
      </c>
    </row>
    <row r="200" spans="1:12">
      <c r="A200" s="565">
        <v>195</v>
      </c>
      <c r="B200" s="560" t="s">
        <v>277</v>
      </c>
      <c r="C200" s="560" t="s">
        <v>462</v>
      </c>
      <c r="D200" s="560">
        <v>1983</v>
      </c>
      <c r="E200" s="560">
        <v>302</v>
      </c>
      <c r="F200" s="560">
        <v>14</v>
      </c>
      <c r="G200" s="560" t="s">
        <v>34</v>
      </c>
      <c r="H200" s="566">
        <v>3871.7948717948716</v>
      </c>
      <c r="I200" s="567" t="s">
        <v>464</v>
      </c>
      <c r="J200" s="568" t="s">
        <v>488</v>
      </c>
      <c r="L200" s="373">
        <v>1</v>
      </c>
    </row>
    <row r="201" spans="1:12">
      <c r="A201" s="565">
        <v>196</v>
      </c>
      <c r="B201" s="560" t="s">
        <v>277</v>
      </c>
      <c r="C201" s="560" t="s">
        <v>462</v>
      </c>
      <c r="D201" s="560">
        <v>1920</v>
      </c>
      <c r="E201" s="560">
        <v>1120</v>
      </c>
      <c r="F201" s="560">
        <v>50</v>
      </c>
      <c r="G201" s="560" t="s">
        <v>34</v>
      </c>
      <c r="H201" s="566">
        <v>14358.974358974359</v>
      </c>
      <c r="I201" s="567" t="s">
        <v>464</v>
      </c>
      <c r="J201" s="568" t="s">
        <v>488</v>
      </c>
      <c r="L201" s="373">
        <v>1</v>
      </c>
    </row>
    <row r="202" spans="1:12" ht="21">
      <c r="A202" s="565">
        <v>197</v>
      </c>
      <c r="B202" s="560" t="s">
        <v>277</v>
      </c>
      <c r="C202" s="560" t="s">
        <v>462</v>
      </c>
      <c r="D202" s="560">
        <v>1900</v>
      </c>
      <c r="E202" s="560">
        <v>2182</v>
      </c>
      <c r="F202" s="560">
        <v>96</v>
      </c>
      <c r="G202" s="560" t="s">
        <v>487</v>
      </c>
      <c r="H202" s="566">
        <v>833.14242077128665</v>
      </c>
      <c r="I202" s="567" t="s">
        <v>492</v>
      </c>
      <c r="J202" s="568" t="s">
        <v>288</v>
      </c>
      <c r="L202" s="373">
        <v>1</v>
      </c>
    </row>
    <row r="203" spans="1:12" ht="21">
      <c r="A203" s="565">
        <v>198</v>
      </c>
      <c r="B203" s="560" t="s">
        <v>277</v>
      </c>
      <c r="C203" s="560" t="s">
        <v>462</v>
      </c>
      <c r="D203" s="560">
        <v>1991</v>
      </c>
      <c r="E203" s="560">
        <v>1642</v>
      </c>
      <c r="F203" s="560">
        <v>70</v>
      </c>
      <c r="G203" s="560" t="s">
        <v>487</v>
      </c>
      <c r="H203" s="566">
        <v>626.95685376097742</v>
      </c>
      <c r="I203" s="567" t="s">
        <v>481</v>
      </c>
      <c r="J203" s="568" t="s">
        <v>288</v>
      </c>
      <c r="L203" s="373">
        <v>1</v>
      </c>
    </row>
    <row r="204" spans="1:12" ht="21">
      <c r="A204" s="565">
        <v>199</v>
      </c>
      <c r="B204" s="560" t="s">
        <v>277</v>
      </c>
      <c r="C204" s="560" t="s">
        <v>462</v>
      </c>
      <c r="D204" s="560">
        <v>1991</v>
      </c>
      <c r="E204" s="560">
        <v>1810</v>
      </c>
      <c r="F204" s="560">
        <v>86</v>
      </c>
      <c r="G204" s="560" t="s">
        <v>487</v>
      </c>
      <c r="H204" s="566">
        <v>691.1034746086292</v>
      </c>
      <c r="I204" s="567" t="s">
        <v>492</v>
      </c>
      <c r="J204" s="568" t="s">
        <v>288</v>
      </c>
      <c r="L204" s="373">
        <v>1</v>
      </c>
    </row>
    <row r="205" spans="1:12" ht="21">
      <c r="A205" s="565">
        <v>200</v>
      </c>
      <c r="B205" s="560" t="s">
        <v>277</v>
      </c>
      <c r="C205" s="560" t="s">
        <v>462</v>
      </c>
      <c r="D205" s="560">
        <v>1992</v>
      </c>
      <c r="E205" s="560">
        <v>2271</v>
      </c>
      <c r="F205" s="560">
        <v>108</v>
      </c>
      <c r="G205" s="560" t="s">
        <v>487</v>
      </c>
      <c r="H205" s="566">
        <v>867.12485681557837</v>
      </c>
      <c r="I205" s="567" t="s">
        <v>469</v>
      </c>
      <c r="J205" s="568" t="s">
        <v>288</v>
      </c>
      <c r="L205" s="373">
        <v>1</v>
      </c>
    </row>
    <row r="206" spans="1:12" ht="21">
      <c r="A206" s="565">
        <v>201</v>
      </c>
      <c r="B206" s="560" t="s">
        <v>277</v>
      </c>
      <c r="C206" s="560" t="s">
        <v>462</v>
      </c>
      <c r="D206" s="560">
        <v>1986</v>
      </c>
      <c r="E206" s="560">
        <v>2703</v>
      </c>
      <c r="F206" s="560">
        <v>125</v>
      </c>
      <c r="G206" s="560" t="s">
        <v>487</v>
      </c>
      <c r="H206" s="566">
        <v>1032.0733104238259</v>
      </c>
      <c r="I206" s="567" t="s">
        <v>481</v>
      </c>
      <c r="J206" s="568" t="s">
        <v>288</v>
      </c>
      <c r="L206" s="373">
        <v>1</v>
      </c>
    </row>
    <row r="207" spans="1:12" ht="21">
      <c r="A207" s="565">
        <v>202</v>
      </c>
      <c r="B207" s="560" t="s">
        <v>277</v>
      </c>
      <c r="C207" s="560" t="s">
        <v>462</v>
      </c>
      <c r="D207" s="560">
        <v>1986</v>
      </c>
      <c r="E207" s="560">
        <v>2162</v>
      </c>
      <c r="F207" s="560">
        <v>95</v>
      </c>
      <c r="G207" s="560" t="s">
        <v>487</v>
      </c>
      <c r="H207" s="566">
        <v>825.50591828942333</v>
      </c>
      <c r="I207" s="567" t="s">
        <v>471</v>
      </c>
      <c r="J207" s="568" t="s">
        <v>288</v>
      </c>
      <c r="L207" s="373">
        <v>1</v>
      </c>
    </row>
    <row r="208" spans="1:12" ht="21">
      <c r="A208" s="565">
        <v>203</v>
      </c>
      <c r="B208" s="560" t="s">
        <v>277</v>
      </c>
      <c r="C208" s="560" t="s">
        <v>462</v>
      </c>
      <c r="D208" s="560">
        <v>1986</v>
      </c>
      <c r="E208" s="560">
        <v>1313</v>
      </c>
      <c r="F208" s="560">
        <v>61</v>
      </c>
      <c r="G208" s="560" t="s">
        <v>487</v>
      </c>
      <c r="H208" s="566">
        <v>501.33638793432601</v>
      </c>
      <c r="I208" s="567" t="s">
        <v>480</v>
      </c>
      <c r="J208" s="568" t="s">
        <v>288</v>
      </c>
      <c r="L208" s="373">
        <v>1</v>
      </c>
    </row>
    <row r="209" spans="1:12" ht="21">
      <c r="A209" s="565">
        <v>204</v>
      </c>
      <c r="B209" s="560" t="s">
        <v>277</v>
      </c>
      <c r="C209" s="560" t="s">
        <v>462</v>
      </c>
      <c r="D209" s="560">
        <v>1985</v>
      </c>
      <c r="E209" s="560">
        <v>1469</v>
      </c>
      <c r="F209" s="560">
        <v>74</v>
      </c>
      <c r="G209" s="560" t="s">
        <v>487</v>
      </c>
      <c r="H209" s="566">
        <v>560.90110729285982</v>
      </c>
      <c r="I209" s="567" t="s">
        <v>480</v>
      </c>
      <c r="J209" s="568" t="s">
        <v>288</v>
      </c>
      <c r="L209" s="373">
        <v>1</v>
      </c>
    </row>
    <row r="210" spans="1:12" ht="21">
      <c r="A210" s="565">
        <v>205</v>
      </c>
      <c r="B210" s="560" t="s">
        <v>277</v>
      </c>
      <c r="C210" s="560" t="s">
        <v>462</v>
      </c>
      <c r="D210" s="560">
        <v>1979</v>
      </c>
      <c r="E210" s="560">
        <v>4799</v>
      </c>
      <c r="F210" s="560">
        <v>266</v>
      </c>
      <c r="G210" s="560" t="s">
        <v>487</v>
      </c>
      <c r="H210" s="566">
        <v>1832.3787705231002</v>
      </c>
      <c r="I210" s="567" t="s">
        <v>480</v>
      </c>
      <c r="J210" s="568" t="s">
        <v>288</v>
      </c>
      <c r="L210" s="373">
        <v>1</v>
      </c>
    </row>
    <row r="211" spans="1:12" ht="21">
      <c r="A211" s="565">
        <v>206</v>
      </c>
      <c r="B211" s="560" t="s">
        <v>277</v>
      </c>
      <c r="C211" s="560" t="s">
        <v>462</v>
      </c>
      <c r="D211" s="560">
        <v>1975</v>
      </c>
      <c r="E211" s="560">
        <v>4016</v>
      </c>
      <c r="F211" s="560">
        <v>189</v>
      </c>
      <c r="G211" s="560" t="s">
        <v>487</v>
      </c>
      <c r="H211" s="566">
        <v>1533.4096983581519</v>
      </c>
      <c r="I211" s="567" t="s">
        <v>493</v>
      </c>
      <c r="J211" s="568" t="s">
        <v>288</v>
      </c>
      <c r="L211" s="373">
        <v>1</v>
      </c>
    </row>
    <row r="212" spans="1:12" ht="21">
      <c r="A212" s="565">
        <v>207</v>
      </c>
      <c r="B212" s="560" t="s">
        <v>277</v>
      </c>
      <c r="C212" s="560" t="s">
        <v>462</v>
      </c>
      <c r="D212" s="560">
        <v>1981</v>
      </c>
      <c r="E212" s="560">
        <v>1075</v>
      </c>
      <c r="F212" s="560">
        <v>52</v>
      </c>
      <c r="G212" s="560" t="s">
        <v>487</v>
      </c>
      <c r="H212" s="566">
        <v>410.46200840015268</v>
      </c>
      <c r="I212" s="567" t="s">
        <v>472</v>
      </c>
      <c r="J212" s="568" t="s">
        <v>288</v>
      </c>
      <c r="L212" s="373">
        <v>1</v>
      </c>
    </row>
    <row r="213" spans="1:12" ht="21">
      <c r="A213" s="565">
        <v>208</v>
      </c>
      <c r="B213" s="560" t="s">
        <v>277</v>
      </c>
      <c r="C213" s="560" t="s">
        <v>462</v>
      </c>
      <c r="D213" s="560">
        <v>1980</v>
      </c>
      <c r="E213" s="560">
        <v>1008</v>
      </c>
      <c r="F213" s="560">
        <v>46</v>
      </c>
      <c r="G213" s="560" t="s">
        <v>487</v>
      </c>
      <c r="H213" s="566">
        <v>384.87972508591059</v>
      </c>
      <c r="I213" s="567" t="s">
        <v>472</v>
      </c>
      <c r="J213" s="568" t="s">
        <v>288</v>
      </c>
      <c r="L213" s="373">
        <v>1</v>
      </c>
    </row>
    <row r="214" spans="1:12" ht="21">
      <c r="A214" s="565">
        <v>209</v>
      </c>
      <c r="B214" s="560" t="s">
        <v>277</v>
      </c>
      <c r="C214" s="560" t="s">
        <v>462</v>
      </c>
      <c r="D214" s="560">
        <v>1980</v>
      </c>
      <c r="E214" s="560">
        <v>1075</v>
      </c>
      <c r="F214" s="560">
        <v>50</v>
      </c>
      <c r="G214" s="560" t="s">
        <v>487</v>
      </c>
      <c r="H214" s="566">
        <v>410.46200840015268</v>
      </c>
      <c r="I214" s="567" t="s">
        <v>493</v>
      </c>
      <c r="J214" s="568" t="s">
        <v>288</v>
      </c>
      <c r="L214" s="373">
        <v>1</v>
      </c>
    </row>
    <row r="215" spans="1:12" ht="21">
      <c r="A215" s="565">
        <v>210</v>
      </c>
      <c r="B215" s="560" t="s">
        <v>277</v>
      </c>
      <c r="C215" s="560" t="s">
        <v>462</v>
      </c>
      <c r="D215" s="560">
        <v>1980</v>
      </c>
      <c r="E215" s="560">
        <v>1008</v>
      </c>
      <c r="F215" s="560">
        <v>46</v>
      </c>
      <c r="G215" s="560" t="s">
        <v>487</v>
      </c>
      <c r="H215" s="566">
        <v>384.87972508591059</v>
      </c>
      <c r="I215" s="567" t="s">
        <v>481</v>
      </c>
      <c r="J215" s="568" t="s">
        <v>288</v>
      </c>
      <c r="L215" s="373">
        <v>1</v>
      </c>
    </row>
    <row r="216" spans="1:12" ht="21">
      <c r="A216" s="565">
        <v>211</v>
      </c>
      <c r="B216" s="560" t="s">
        <v>277</v>
      </c>
      <c r="C216" s="560" t="s">
        <v>462</v>
      </c>
      <c r="D216" s="560">
        <v>1979</v>
      </c>
      <c r="E216" s="560">
        <v>1008</v>
      </c>
      <c r="F216" s="560">
        <v>45</v>
      </c>
      <c r="G216" s="560" t="s">
        <v>487</v>
      </c>
      <c r="H216" s="566">
        <v>384.87972508591059</v>
      </c>
      <c r="I216" s="567" t="s">
        <v>480</v>
      </c>
      <c r="J216" s="568" t="s">
        <v>288</v>
      </c>
      <c r="L216" s="373">
        <v>1</v>
      </c>
    </row>
    <row r="217" spans="1:12" ht="21">
      <c r="A217" s="565">
        <v>212</v>
      </c>
      <c r="B217" s="560" t="s">
        <v>277</v>
      </c>
      <c r="C217" s="560" t="s">
        <v>462</v>
      </c>
      <c r="D217" s="560">
        <v>1979</v>
      </c>
      <c r="E217" s="560">
        <v>1075</v>
      </c>
      <c r="F217" s="560">
        <v>51</v>
      </c>
      <c r="G217" s="560" t="s">
        <v>487</v>
      </c>
      <c r="H217" s="566">
        <v>410.46200840015268</v>
      </c>
      <c r="I217" s="567" t="s">
        <v>472</v>
      </c>
      <c r="J217" s="568" t="s">
        <v>468</v>
      </c>
      <c r="L217" s="373">
        <v>1</v>
      </c>
    </row>
    <row r="218" spans="1:12" ht="21">
      <c r="A218" s="565">
        <v>213</v>
      </c>
      <c r="B218" s="560" t="s">
        <v>277</v>
      </c>
      <c r="C218" s="560" t="s">
        <v>462</v>
      </c>
      <c r="D218" s="560">
        <v>1973</v>
      </c>
      <c r="E218" s="560">
        <v>1353</v>
      </c>
      <c r="F218" s="560">
        <v>67</v>
      </c>
      <c r="G218" s="560" t="s">
        <v>487</v>
      </c>
      <c r="H218" s="566">
        <v>516.60939289805265</v>
      </c>
      <c r="I218" s="567" t="s">
        <v>472</v>
      </c>
      <c r="J218" s="568" t="s">
        <v>288</v>
      </c>
      <c r="L218" s="373">
        <v>1</v>
      </c>
    </row>
    <row r="219" spans="1:12" ht="21">
      <c r="A219" s="565">
        <v>214</v>
      </c>
      <c r="B219" s="560" t="s">
        <v>277</v>
      </c>
      <c r="C219" s="560" t="s">
        <v>462</v>
      </c>
      <c r="D219" s="560">
        <v>1973</v>
      </c>
      <c r="E219" s="560">
        <v>1301</v>
      </c>
      <c r="F219" s="560">
        <v>55</v>
      </c>
      <c r="G219" s="560" t="s">
        <v>487</v>
      </c>
      <c r="H219" s="566">
        <v>496.75448644520804</v>
      </c>
      <c r="I219" s="567" t="s">
        <v>480</v>
      </c>
      <c r="J219" s="568" t="s">
        <v>288</v>
      </c>
      <c r="L219" s="373">
        <v>1</v>
      </c>
    </row>
    <row r="220" spans="1:12" ht="21">
      <c r="A220" s="565">
        <v>215</v>
      </c>
      <c r="B220" s="560" t="s">
        <v>277</v>
      </c>
      <c r="C220" s="560" t="s">
        <v>462</v>
      </c>
      <c r="D220" s="560">
        <v>1973</v>
      </c>
      <c r="E220" s="560">
        <v>1301</v>
      </c>
      <c r="F220" s="560">
        <v>49</v>
      </c>
      <c r="G220" s="560" t="s">
        <v>487</v>
      </c>
      <c r="H220" s="566">
        <v>496.75448644520804</v>
      </c>
      <c r="I220" s="567" t="s">
        <v>472</v>
      </c>
      <c r="J220" s="568" t="s">
        <v>288</v>
      </c>
      <c r="L220" s="373">
        <v>1</v>
      </c>
    </row>
    <row r="221" spans="1:12" ht="21">
      <c r="A221" s="565">
        <v>216</v>
      </c>
      <c r="B221" s="560" t="s">
        <v>277</v>
      </c>
      <c r="C221" s="560" t="s">
        <v>462</v>
      </c>
      <c r="D221" s="560">
        <v>1973</v>
      </c>
      <c r="E221" s="560">
        <v>1301</v>
      </c>
      <c r="F221" s="560">
        <v>59</v>
      </c>
      <c r="G221" s="560" t="s">
        <v>487</v>
      </c>
      <c r="H221" s="566">
        <v>496.75448644520804</v>
      </c>
      <c r="I221" s="567" t="s">
        <v>481</v>
      </c>
      <c r="J221" s="568" t="s">
        <v>288</v>
      </c>
      <c r="L221" s="373">
        <v>1</v>
      </c>
    </row>
    <row r="222" spans="1:12" ht="21">
      <c r="A222" s="565">
        <v>217</v>
      </c>
      <c r="B222" s="560" t="s">
        <v>277</v>
      </c>
      <c r="C222" s="560" t="s">
        <v>462</v>
      </c>
      <c r="D222" s="560">
        <v>1972</v>
      </c>
      <c r="E222" s="560">
        <v>1301</v>
      </c>
      <c r="F222" s="560">
        <v>60</v>
      </c>
      <c r="G222" s="560" t="s">
        <v>487</v>
      </c>
      <c r="H222" s="566">
        <v>496.75448644520804</v>
      </c>
      <c r="I222" s="567" t="s">
        <v>492</v>
      </c>
      <c r="J222" s="568" t="s">
        <v>288</v>
      </c>
      <c r="L222" s="373">
        <v>1</v>
      </c>
    </row>
    <row r="223" spans="1:12" ht="21">
      <c r="A223" s="565">
        <v>218</v>
      </c>
      <c r="B223" s="560" t="s">
        <v>277</v>
      </c>
      <c r="C223" s="560" t="s">
        <v>462</v>
      </c>
      <c r="D223" s="560">
        <v>1972</v>
      </c>
      <c r="E223" s="560">
        <v>1301</v>
      </c>
      <c r="F223" s="560">
        <v>62</v>
      </c>
      <c r="G223" s="560" t="s">
        <v>487</v>
      </c>
      <c r="H223" s="566">
        <v>496.75448644520804</v>
      </c>
      <c r="I223" s="567" t="s">
        <v>492</v>
      </c>
      <c r="J223" s="568" t="s">
        <v>288</v>
      </c>
      <c r="L223" s="373">
        <v>1</v>
      </c>
    </row>
    <row r="224" spans="1:12" ht="21">
      <c r="A224" s="565">
        <v>219</v>
      </c>
      <c r="B224" s="560" t="s">
        <v>277</v>
      </c>
      <c r="C224" s="560" t="s">
        <v>462</v>
      </c>
      <c r="D224" s="560">
        <v>1972</v>
      </c>
      <c r="E224" s="560">
        <v>9315</v>
      </c>
      <c r="F224" s="560">
        <v>156</v>
      </c>
      <c r="G224" s="560" t="s">
        <v>487</v>
      </c>
      <c r="H224" s="566">
        <v>3556.7010309278348</v>
      </c>
      <c r="I224" s="567" t="s">
        <v>472</v>
      </c>
      <c r="J224" s="568" t="s">
        <v>288</v>
      </c>
      <c r="L224" s="373">
        <v>1</v>
      </c>
    </row>
    <row r="225" spans="1:12" ht="21">
      <c r="A225" s="565">
        <v>220</v>
      </c>
      <c r="B225" s="560" t="s">
        <v>277</v>
      </c>
      <c r="C225" s="560" t="s">
        <v>462</v>
      </c>
      <c r="D225" s="560">
        <v>1971</v>
      </c>
      <c r="E225" s="560">
        <v>2217</v>
      </c>
      <c r="F225" s="560">
        <v>106</v>
      </c>
      <c r="G225" s="560" t="s">
        <v>487</v>
      </c>
      <c r="H225" s="566">
        <v>846.50630011454746</v>
      </c>
      <c r="I225" s="567" t="s">
        <v>472</v>
      </c>
      <c r="J225" s="568" t="s">
        <v>288</v>
      </c>
      <c r="L225" s="373">
        <v>1</v>
      </c>
    </row>
    <row r="226" spans="1:12">
      <c r="A226" s="565">
        <v>221</v>
      </c>
      <c r="B226" s="560" t="s">
        <v>277</v>
      </c>
      <c r="C226" s="560" t="s">
        <v>462</v>
      </c>
      <c r="D226" s="560">
        <v>1981</v>
      </c>
      <c r="E226" s="560">
        <v>1135</v>
      </c>
      <c r="F226" s="560">
        <v>46</v>
      </c>
      <c r="G226" s="560" t="s">
        <v>487</v>
      </c>
      <c r="H226" s="566">
        <v>433.37151584574264</v>
      </c>
      <c r="I226" s="567" t="s">
        <v>464</v>
      </c>
      <c r="J226" s="568" t="s">
        <v>288</v>
      </c>
      <c r="L226" s="373">
        <v>1</v>
      </c>
    </row>
    <row r="227" spans="1:12">
      <c r="A227" s="565">
        <v>222</v>
      </c>
      <c r="B227" s="560" t="s">
        <v>277</v>
      </c>
      <c r="C227" s="560" t="s">
        <v>462</v>
      </c>
      <c r="D227" s="560">
        <v>1969</v>
      </c>
      <c r="E227" s="560">
        <v>1761</v>
      </c>
      <c r="F227" s="560">
        <v>61</v>
      </c>
      <c r="G227" s="560" t="s">
        <v>487</v>
      </c>
      <c r="H227" s="566">
        <v>672.39404352806412</v>
      </c>
      <c r="I227" s="567" t="s">
        <v>464</v>
      </c>
      <c r="J227" s="568" t="s">
        <v>288</v>
      </c>
      <c r="L227" s="373">
        <v>1</v>
      </c>
    </row>
    <row r="228" spans="1:12" ht="21">
      <c r="A228" s="565">
        <v>223</v>
      </c>
      <c r="B228" s="560" t="s">
        <v>277</v>
      </c>
      <c r="C228" s="560" t="s">
        <v>462</v>
      </c>
      <c r="D228" s="560">
        <v>1966</v>
      </c>
      <c r="E228" s="560">
        <v>721</v>
      </c>
      <c r="F228" s="560">
        <v>27</v>
      </c>
      <c r="G228" s="560" t="s">
        <v>487</v>
      </c>
      <c r="H228" s="566">
        <v>275.29591447117218</v>
      </c>
      <c r="I228" s="567" t="s">
        <v>494</v>
      </c>
      <c r="J228" s="568" t="s">
        <v>288</v>
      </c>
      <c r="L228" s="373">
        <v>1</v>
      </c>
    </row>
    <row r="229" spans="1:12">
      <c r="A229" s="565">
        <v>224</v>
      </c>
      <c r="B229" s="560" t="s">
        <v>278</v>
      </c>
      <c r="C229" s="560" t="s">
        <v>462</v>
      </c>
      <c r="D229" s="560" t="s">
        <v>291</v>
      </c>
      <c r="E229" s="560">
        <v>137</v>
      </c>
      <c r="F229" s="560">
        <v>5</v>
      </c>
      <c r="G229" s="560" t="s">
        <v>34</v>
      </c>
      <c r="H229" s="566">
        <v>1756.4102564102564</v>
      </c>
      <c r="I229" s="567" t="s">
        <v>495</v>
      </c>
      <c r="J229" s="568" t="s">
        <v>288</v>
      </c>
      <c r="L229" s="373">
        <v>1</v>
      </c>
    </row>
    <row r="230" spans="1:12" ht="21">
      <c r="A230" s="565">
        <v>225</v>
      </c>
      <c r="B230" s="560" t="s">
        <v>278</v>
      </c>
      <c r="C230" s="560" t="s">
        <v>462</v>
      </c>
      <c r="D230" s="560" t="s">
        <v>291</v>
      </c>
      <c r="E230" s="560">
        <v>128</v>
      </c>
      <c r="F230" s="560">
        <v>4</v>
      </c>
      <c r="G230" s="560" t="s">
        <v>286</v>
      </c>
      <c r="H230" s="566">
        <v>3.5904628330995796</v>
      </c>
      <c r="I230" s="567" t="s">
        <v>288</v>
      </c>
      <c r="J230" s="568" t="s">
        <v>496</v>
      </c>
      <c r="L230" s="373">
        <v>1</v>
      </c>
    </row>
    <row r="231" spans="1:12" ht="21">
      <c r="A231" s="565">
        <v>226</v>
      </c>
      <c r="B231" s="560" t="s">
        <v>278</v>
      </c>
      <c r="C231" s="560" t="s">
        <v>462</v>
      </c>
      <c r="D231" s="560" t="s">
        <v>293</v>
      </c>
      <c r="E231" s="560">
        <v>141</v>
      </c>
      <c r="F231" s="560">
        <v>3</v>
      </c>
      <c r="G231" s="560" t="s">
        <v>286</v>
      </c>
      <c r="H231" s="566">
        <v>3.9551192145862553</v>
      </c>
      <c r="I231" s="567" t="s">
        <v>489</v>
      </c>
      <c r="J231" s="568" t="s">
        <v>288</v>
      </c>
      <c r="L231" s="373">
        <v>1</v>
      </c>
    </row>
    <row r="232" spans="1:12" ht="21">
      <c r="A232" s="565">
        <v>227</v>
      </c>
      <c r="B232" s="560" t="s">
        <v>278</v>
      </c>
      <c r="C232" s="560" t="s">
        <v>462</v>
      </c>
      <c r="D232" s="560" t="s">
        <v>291</v>
      </c>
      <c r="E232" s="560">
        <v>132</v>
      </c>
      <c r="F232" s="560">
        <v>5</v>
      </c>
      <c r="G232" s="560" t="s">
        <v>286</v>
      </c>
      <c r="H232" s="566">
        <v>3.7026647966339414</v>
      </c>
      <c r="I232" s="567" t="s">
        <v>489</v>
      </c>
      <c r="J232" s="568" t="s">
        <v>288</v>
      </c>
      <c r="L232" s="373">
        <v>1</v>
      </c>
    </row>
    <row r="233" spans="1:12" ht="21">
      <c r="A233" s="565">
        <v>228</v>
      </c>
      <c r="B233" s="560" t="s">
        <v>278</v>
      </c>
      <c r="C233" s="560" t="s">
        <v>462</v>
      </c>
      <c r="D233" s="560" t="s">
        <v>291</v>
      </c>
      <c r="E233" s="560">
        <v>110</v>
      </c>
      <c r="F233" s="560">
        <v>3</v>
      </c>
      <c r="G233" s="560" t="s">
        <v>34</v>
      </c>
      <c r="H233" s="566">
        <v>1410.2564102564102</v>
      </c>
      <c r="I233" s="567" t="s">
        <v>495</v>
      </c>
      <c r="J233" s="568" t="s">
        <v>497</v>
      </c>
      <c r="L233" s="373">
        <v>1</v>
      </c>
    </row>
    <row r="234" spans="1:12" ht="21">
      <c r="A234" s="565">
        <v>229</v>
      </c>
      <c r="B234" s="560" t="s">
        <v>278</v>
      </c>
      <c r="C234" s="560" t="s">
        <v>462</v>
      </c>
      <c r="D234" s="560" t="s">
        <v>293</v>
      </c>
      <c r="E234" s="560">
        <v>131</v>
      </c>
      <c r="F234" s="560">
        <v>4</v>
      </c>
      <c r="G234" s="560" t="s">
        <v>34</v>
      </c>
      <c r="H234" s="566">
        <v>1679.4871794871794</v>
      </c>
      <c r="I234" s="567" t="s">
        <v>489</v>
      </c>
      <c r="J234" s="568" t="s">
        <v>288</v>
      </c>
      <c r="L234" s="373">
        <v>1</v>
      </c>
    </row>
    <row r="235" spans="1:12">
      <c r="A235" s="565">
        <v>230</v>
      </c>
      <c r="B235" s="560" t="s">
        <v>278</v>
      </c>
      <c r="C235" s="560" t="s">
        <v>462</v>
      </c>
      <c r="D235" s="560" t="s">
        <v>291</v>
      </c>
      <c r="E235" s="560">
        <v>98</v>
      </c>
      <c r="F235" s="560">
        <v>5</v>
      </c>
      <c r="G235" s="560" t="s">
        <v>34</v>
      </c>
      <c r="H235" s="566">
        <v>1256.4102564102564</v>
      </c>
      <c r="I235" s="567" t="s">
        <v>464</v>
      </c>
      <c r="J235" s="568" t="s">
        <v>288</v>
      </c>
      <c r="L235" s="373">
        <v>1</v>
      </c>
    </row>
    <row r="236" spans="1:12" ht="21">
      <c r="A236" s="565">
        <v>231</v>
      </c>
      <c r="B236" s="560" t="s">
        <v>278</v>
      </c>
      <c r="C236" s="560" t="s">
        <v>462</v>
      </c>
      <c r="D236" s="560" t="s">
        <v>291</v>
      </c>
      <c r="E236" s="560">
        <v>119</v>
      </c>
      <c r="F236" s="560">
        <v>3</v>
      </c>
      <c r="G236" s="560" t="s">
        <v>34</v>
      </c>
      <c r="H236" s="566">
        <v>1525.6410256410256</v>
      </c>
      <c r="I236" s="567" t="s">
        <v>464</v>
      </c>
      <c r="J236" s="568" t="s">
        <v>498</v>
      </c>
      <c r="L236" s="373">
        <v>1</v>
      </c>
    </row>
    <row r="237" spans="1:12" ht="21">
      <c r="A237" s="565">
        <v>232</v>
      </c>
      <c r="B237" s="560" t="s">
        <v>278</v>
      </c>
      <c r="C237" s="560" t="s">
        <v>462</v>
      </c>
      <c r="D237" s="560" t="s">
        <v>291</v>
      </c>
      <c r="E237" s="560">
        <v>141</v>
      </c>
      <c r="F237" s="560">
        <v>3</v>
      </c>
      <c r="G237" s="560" t="s">
        <v>34</v>
      </c>
      <c r="H237" s="566">
        <v>1807.6923076923076</v>
      </c>
      <c r="I237" s="567" t="s">
        <v>489</v>
      </c>
      <c r="J237" s="568" t="s">
        <v>288</v>
      </c>
      <c r="L237" s="373">
        <v>1</v>
      </c>
    </row>
    <row r="238" spans="1:12" ht="21">
      <c r="A238" s="565">
        <v>233</v>
      </c>
      <c r="B238" s="560" t="s">
        <v>278</v>
      </c>
      <c r="C238" s="560" t="s">
        <v>462</v>
      </c>
      <c r="D238" s="560" t="s">
        <v>291</v>
      </c>
      <c r="E238" s="560">
        <v>137</v>
      </c>
      <c r="F238" s="560">
        <v>4</v>
      </c>
      <c r="G238" s="560" t="s">
        <v>34</v>
      </c>
      <c r="H238" s="566">
        <v>1756.4102564102564</v>
      </c>
      <c r="I238" s="567" t="s">
        <v>464</v>
      </c>
      <c r="J238" s="568" t="s">
        <v>498</v>
      </c>
      <c r="L238" s="373">
        <v>1</v>
      </c>
    </row>
    <row r="239" spans="1:12" ht="21">
      <c r="A239" s="565">
        <v>234</v>
      </c>
      <c r="B239" s="560" t="s">
        <v>278</v>
      </c>
      <c r="C239" s="560" t="s">
        <v>462</v>
      </c>
      <c r="D239" s="560" t="s">
        <v>291</v>
      </c>
      <c r="E239" s="560">
        <v>127</v>
      </c>
      <c r="F239" s="560">
        <v>4</v>
      </c>
      <c r="G239" s="560" t="s">
        <v>34</v>
      </c>
      <c r="H239" s="566">
        <v>1628.2051282051282</v>
      </c>
      <c r="I239" s="567" t="s">
        <v>288</v>
      </c>
      <c r="J239" s="568" t="s">
        <v>496</v>
      </c>
      <c r="L239" s="373">
        <v>1</v>
      </c>
    </row>
    <row r="240" spans="1:12" ht="21">
      <c r="A240" s="565">
        <v>235</v>
      </c>
      <c r="B240" s="560" t="s">
        <v>278</v>
      </c>
      <c r="C240" s="560" t="s">
        <v>462</v>
      </c>
      <c r="D240" s="560" t="s">
        <v>291</v>
      </c>
      <c r="E240" s="560">
        <v>138</v>
      </c>
      <c r="F240" s="560">
        <v>5</v>
      </c>
      <c r="G240" s="560" t="s">
        <v>34</v>
      </c>
      <c r="H240" s="566">
        <v>1769.2307692307693</v>
      </c>
      <c r="I240" s="567" t="s">
        <v>489</v>
      </c>
      <c r="J240" s="568" t="s">
        <v>288</v>
      </c>
      <c r="L240" s="373">
        <v>1</v>
      </c>
    </row>
    <row r="241" spans="1:12">
      <c r="A241" s="565">
        <v>236</v>
      </c>
      <c r="B241" s="560" t="s">
        <v>278</v>
      </c>
      <c r="C241" s="560" t="s">
        <v>462</v>
      </c>
      <c r="D241" s="560" t="s">
        <v>291</v>
      </c>
      <c r="E241" s="560">
        <v>110</v>
      </c>
      <c r="F241" s="560">
        <v>4</v>
      </c>
      <c r="G241" s="560" t="s">
        <v>34</v>
      </c>
      <c r="H241" s="566">
        <v>1410.2564102564102</v>
      </c>
      <c r="I241" s="567" t="s">
        <v>499</v>
      </c>
      <c r="J241" s="568" t="s">
        <v>288</v>
      </c>
      <c r="L241" s="373">
        <v>1</v>
      </c>
    </row>
    <row r="242" spans="1:12">
      <c r="A242" s="565">
        <v>237</v>
      </c>
      <c r="B242" s="560" t="s">
        <v>278</v>
      </c>
      <c r="C242" s="560" t="s">
        <v>462</v>
      </c>
      <c r="D242" s="560" t="s">
        <v>291</v>
      </c>
      <c r="E242" s="560">
        <v>150</v>
      </c>
      <c r="F242" s="560">
        <v>6</v>
      </c>
      <c r="G242" s="560" t="s">
        <v>34</v>
      </c>
      <c r="H242" s="566">
        <v>1923.0769230769231</v>
      </c>
      <c r="I242" s="567" t="s">
        <v>499</v>
      </c>
      <c r="J242" s="568" t="s">
        <v>288</v>
      </c>
      <c r="L242" s="373">
        <v>1</v>
      </c>
    </row>
    <row r="243" spans="1:12" ht="21">
      <c r="A243" s="565">
        <v>238</v>
      </c>
      <c r="B243" s="560" t="s">
        <v>278</v>
      </c>
      <c r="C243" s="560" t="s">
        <v>462</v>
      </c>
      <c r="D243" s="560" t="s">
        <v>291</v>
      </c>
      <c r="E243" s="560">
        <v>170</v>
      </c>
      <c r="F243" s="560">
        <v>7</v>
      </c>
      <c r="G243" s="560" t="s">
        <v>34</v>
      </c>
      <c r="H243" s="566">
        <v>2179.4871794871797</v>
      </c>
      <c r="I243" s="567" t="s">
        <v>288</v>
      </c>
      <c r="J243" s="568" t="s">
        <v>496</v>
      </c>
      <c r="L243" s="373">
        <v>1</v>
      </c>
    </row>
    <row r="244" spans="1:12" ht="21">
      <c r="A244" s="565">
        <v>239</v>
      </c>
      <c r="B244" s="560" t="s">
        <v>278</v>
      </c>
      <c r="C244" s="560" t="s">
        <v>462</v>
      </c>
      <c r="D244" s="560" t="s">
        <v>291</v>
      </c>
      <c r="E244" s="560">
        <v>150</v>
      </c>
      <c r="F244" s="560">
        <v>6</v>
      </c>
      <c r="G244" s="560" t="s">
        <v>34</v>
      </c>
      <c r="H244" s="566">
        <v>1923.0769230769231</v>
      </c>
      <c r="I244" s="567" t="s">
        <v>489</v>
      </c>
      <c r="J244" s="568" t="s">
        <v>288</v>
      </c>
      <c r="L244" s="373">
        <v>1</v>
      </c>
    </row>
    <row r="245" spans="1:12" ht="21">
      <c r="A245" s="565">
        <v>240</v>
      </c>
      <c r="B245" s="560" t="s">
        <v>278</v>
      </c>
      <c r="C245" s="560" t="s">
        <v>462</v>
      </c>
      <c r="D245" s="560" t="s">
        <v>292</v>
      </c>
      <c r="E245" s="560">
        <v>90</v>
      </c>
      <c r="F245" s="560">
        <v>3</v>
      </c>
      <c r="G245" s="560" t="s">
        <v>286</v>
      </c>
      <c r="H245" s="566">
        <v>2.5245441795231418</v>
      </c>
      <c r="I245" s="567" t="s">
        <v>288</v>
      </c>
      <c r="J245" s="568" t="s">
        <v>496</v>
      </c>
      <c r="L245" s="373">
        <v>1</v>
      </c>
    </row>
    <row r="246" spans="1:12">
      <c r="A246" s="565">
        <v>241</v>
      </c>
      <c r="B246" s="560" t="s">
        <v>278</v>
      </c>
      <c r="C246" s="560" t="s">
        <v>462</v>
      </c>
      <c r="D246" s="560" t="s">
        <v>291</v>
      </c>
      <c r="E246" s="560">
        <v>128</v>
      </c>
      <c r="F246" s="560">
        <v>7</v>
      </c>
      <c r="G246" s="560" t="s">
        <v>34</v>
      </c>
      <c r="H246" s="566">
        <v>1641.0256410256411</v>
      </c>
      <c r="I246" s="567" t="s">
        <v>499</v>
      </c>
      <c r="J246" s="568" t="s">
        <v>288</v>
      </c>
      <c r="L246" s="373">
        <v>1</v>
      </c>
    </row>
    <row r="247" spans="1:12">
      <c r="A247" s="565">
        <v>242</v>
      </c>
      <c r="B247" s="560" t="s">
        <v>278</v>
      </c>
      <c r="C247" s="560" t="s">
        <v>462</v>
      </c>
      <c r="D247" s="560" t="s">
        <v>291</v>
      </c>
      <c r="E247" s="560">
        <v>158</v>
      </c>
      <c r="F247" s="560">
        <v>6</v>
      </c>
      <c r="G247" s="560" t="s">
        <v>34</v>
      </c>
      <c r="H247" s="566">
        <v>2025.6410256410256</v>
      </c>
      <c r="I247" s="567" t="s">
        <v>499</v>
      </c>
      <c r="J247" s="568" t="s">
        <v>288</v>
      </c>
      <c r="L247" s="373">
        <v>1</v>
      </c>
    </row>
    <row r="248" spans="1:12" ht="21">
      <c r="A248" s="565">
        <v>243</v>
      </c>
      <c r="B248" s="560" t="s">
        <v>278</v>
      </c>
      <c r="C248" s="560" t="s">
        <v>462</v>
      </c>
      <c r="D248" s="560" t="s">
        <v>292</v>
      </c>
      <c r="E248" s="560">
        <v>139</v>
      </c>
      <c r="F248" s="560">
        <v>5</v>
      </c>
      <c r="G248" s="560" t="s">
        <v>286</v>
      </c>
      <c r="H248" s="566">
        <v>3.8990182328190746</v>
      </c>
      <c r="I248" s="567" t="s">
        <v>464</v>
      </c>
      <c r="J248" s="568" t="s">
        <v>498</v>
      </c>
      <c r="L248" s="373">
        <v>1</v>
      </c>
    </row>
    <row r="249" spans="1:12">
      <c r="A249" s="565">
        <v>244</v>
      </c>
      <c r="B249" s="560" t="s">
        <v>278</v>
      </c>
      <c r="C249" s="560" t="s">
        <v>462</v>
      </c>
      <c r="D249" s="560" t="s">
        <v>291</v>
      </c>
      <c r="E249" s="560">
        <v>152</v>
      </c>
      <c r="F249" s="560">
        <v>9</v>
      </c>
      <c r="G249" s="560" t="s">
        <v>34</v>
      </c>
      <c r="H249" s="566">
        <v>1948.7179487179487</v>
      </c>
      <c r="I249" s="567" t="s">
        <v>499</v>
      </c>
      <c r="J249" s="568" t="s">
        <v>288</v>
      </c>
      <c r="L249" s="373">
        <v>1</v>
      </c>
    </row>
    <row r="250" spans="1:12">
      <c r="A250" s="565">
        <v>245</v>
      </c>
      <c r="B250" s="560" t="s">
        <v>278</v>
      </c>
      <c r="C250" s="560" t="s">
        <v>462</v>
      </c>
      <c r="D250" s="560" t="s">
        <v>291</v>
      </c>
      <c r="E250" s="560">
        <v>179</v>
      </c>
      <c r="F250" s="560">
        <v>8</v>
      </c>
      <c r="G250" s="560" t="s">
        <v>34</v>
      </c>
      <c r="H250" s="566">
        <v>2294.8717948717949</v>
      </c>
      <c r="I250" s="567" t="s">
        <v>499</v>
      </c>
      <c r="J250" s="568" t="s">
        <v>288</v>
      </c>
      <c r="L250" s="373">
        <v>1</v>
      </c>
    </row>
    <row r="251" spans="1:12">
      <c r="A251" s="565">
        <v>246</v>
      </c>
      <c r="B251" s="560" t="s">
        <v>278</v>
      </c>
      <c r="C251" s="560" t="s">
        <v>462</v>
      </c>
      <c r="D251" s="560" t="s">
        <v>291</v>
      </c>
      <c r="E251" s="560">
        <v>128</v>
      </c>
      <c r="F251" s="560">
        <v>5</v>
      </c>
      <c r="G251" s="560" t="s">
        <v>34</v>
      </c>
      <c r="H251" s="566">
        <v>1641.0256410256411</v>
      </c>
      <c r="I251" s="567" t="s">
        <v>499</v>
      </c>
      <c r="J251" s="568" t="s">
        <v>288</v>
      </c>
      <c r="L251" s="373">
        <v>1</v>
      </c>
    </row>
    <row r="252" spans="1:12">
      <c r="A252" s="565">
        <v>247</v>
      </c>
      <c r="B252" s="560" t="s">
        <v>278</v>
      </c>
      <c r="C252" s="560" t="s">
        <v>462</v>
      </c>
      <c r="D252" s="560" t="s">
        <v>292</v>
      </c>
      <c r="E252" s="560">
        <v>141</v>
      </c>
      <c r="F252" s="560">
        <v>7</v>
      </c>
      <c r="G252" s="560" t="s">
        <v>286</v>
      </c>
      <c r="H252" s="566">
        <v>3.9551192145862553</v>
      </c>
      <c r="I252" s="567" t="s">
        <v>499</v>
      </c>
      <c r="J252" s="568" t="s">
        <v>288</v>
      </c>
      <c r="L252" s="373">
        <v>1</v>
      </c>
    </row>
    <row r="253" spans="1:12" ht="21">
      <c r="A253" s="565">
        <v>248</v>
      </c>
      <c r="B253" s="560" t="s">
        <v>278</v>
      </c>
      <c r="C253" s="560" t="s">
        <v>462</v>
      </c>
      <c r="D253" s="560" t="s">
        <v>291</v>
      </c>
      <c r="E253" s="560">
        <v>146</v>
      </c>
      <c r="F253" s="560">
        <v>4</v>
      </c>
      <c r="G253" s="560" t="s">
        <v>34</v>
      </c>
      <c r="H253" s="566">
        <v>1871.7948717948718</v>
      </c>
      <c r="I253" s="567" t="s">
        <v>288</v>
      </c>
      <c r="J253" s="568" t="s">
        <v>496</v>
      </c>
      <c r="L253" s="373">
        <v>1</v>
      </c>
    </row>
    <row r="254" spans="1:12">
      <c r="A254" s="565">
        <v>249</v>
      </c>
      <c r="B254" s="560" t="s">
        <v>278</v>
      </c>
      <c r="C254" s="560" t="s">
        <v>462</v>
      </c>
      <c r="D254" s="560" t="s">
        <v>291</v>
      </c>
      <c r="E254" s="560">
        <v>138</v>
      </c>
      <c r="F254" s="560">
        <v>5</v>
      </c>
      <c r="G254" s="560" t="s">
        <v>34</v>
      </c>
      <c r="H254" s="566">
        <v>1769.2307692307693</v>
      </c>
      <c r="I254" s="567" t="s">
        <v>499</v>
      </c>
      <c r="J254" s="568" t="s">
        <v>288</v>
      </c>
      <c r="L254" s="373">
        <v>1</v>
      </c>
    </row>
    <row r="255" spans="1:12" ht="21">
      <c r="A255" s="565">
        <v>250</v>
      </c>
      <c r="B255" s="560" t="s">
        <v>278</v>
      </c>
      <c r="C255" s="560" t="s">
        <v>462</v>
      </c>
      <c r="D255" s="560" t="s">
        <v>291</v>
      </c>
      <c r="E255" s="560">
        <v>162</v>
      </c>
      <c r="F255" s="560">
        <v>7</v>
      </c>
      <c r="G255" s="560" t="s">
        <v>34</v>
      </c>
      <c r="H255" s="566">
        <v>2076.9230769230771</v>
      </c>
      <c r="I255" s="567" t="s">
        <v>288</v>
      </c>
      <c r="J255" s="568" t="s">
        <v>496</v>
      </c>
      <c r="L255" s="373">
        <v>1</v>
      </c>
    </row>
    <row r="256" spans="1:12" ht="21">
      <c r="A256" s="565">
        <v>251</v>
      </c>
      <c r="B256" s="560" t="s">
        <v>278</v>
      </c>
      <c r="C256" s="560" t="s">
        <v>462</v>
      </c>
      <c r="D256" s="560" t="s">
        <v>294</v>
      </c>
      <c r="E256" s="560">
        <v>119</v>
      </c>
      <c r="F256" s="560">
        <v>3</v>
      </c>
      <c r="G256" s="560" t="s">
        <v>34</v>
      </c>
      <c r="H256" s="566">
        <v>1525.6410256410256</v>
      </c>
      <c r="I256" s="567" t="s">
        <v>489</v>
      </c>
      <c r="J256" s="568" t="s">
        <v>288</v>
      </c>
      <c r="L256" s="373">
        <v>1</v>
      </c>
    </row>
    <row r="257" spans="1:12" ht="21">
      <c r="A257" s="565">
        <v>252</v>
      </c>
      <c r="B257" s="560" t="s">
        <v>278</v>
      </c>
      <c r="C257" s="560" t="s">
        <v>462</v>
      </c>
      <c r="D257" s="560" t="s">
        <v>291</v>
      </c>
      <c r="E257" s="560">
        <v>121</v>
      </c>
      <c r="F257" s="560">
        <v>5</v>
      </c>
      <c r="G257" s="560" t="s">
        <v>34</v>
      </c>
      <c r="H257" s="566">
        <v>1551.2820512820513</v>
      </c>
      <c r="I257" s="567" t="s">
        <v>464</v>
      </c>
      <c r="J257" s="568" t="s">
        <v>498</v>
      </c>
      <c r="L257" s="373">
        <v>1</v>
      </c>
    </row>
    <row r="258" spans="1:12">
      <c r="A258" s="565">
        <v>253</v>
      </c>
      <c r="B258" s="560" t="s">
        <v>278</v>
      </c>
      <c r="C258" s="560" t="s">
        <v>462</v>
      </c>
      <c r="D258" s="560" t="s">
        <v>291</v>
      </c>
      <c r="E258" s="560">
        <v>151</v>
      </c>
      <c r="F258" s="560">
        <v>5</v>
      </c>
      <c r="G258" s="560" t="s">
        <v>34</v>
      </c>
      <c r="H258" s="566">
        <v>1935.8974358974358</v>
      </c>
      <c r="I258" s="567" t="s">
        <v>499</v>
      </c>
      <c r="J258" s="568" t="s">
        <v>500</v>
      </c>
      <c r="L258" s="373">
        <v>1</v>
      </c>
    </row>
    <row r="259" spans="1:12" ht="21">
      <c r="A259" s="565">
        <v>254</v>
      </c>
      <c r="B259" s="560" t="s">
        <v>278</v>
      </c>
      <c r="C259" s="560" t="s">
        <v>462</v>
      </c>
      <c r="D259" s="560" t="s">
        <v>293</v>
      </c>
      <c r="E259" s="560">
        <v>123</v>
      </c>
      <c r="F259" s="560">
        <v>3</v>
      </c>
      <c r="G259" s="560" t="s">
        <v>34</v>
      </c>
      <c r="H259" s="566">
        <v>1576.9230769230769</v>
      </c>
      <c r="I259" s="567" t="s">
        <v>489</v>
      </c>
      <c r="J259" s="568" t="s">
        <v>288</v>
      </c>
      <c r="L259" s="373">
        <v>1</v>
      </c>
    </row>
    <row r="260" spans="1:12">
      <c r="A260" s="565">
        <v>255</v>
      </c>
      <c r="B260" s="560" t="s">
        <v>278</v>
      </c>
      <c r="C260" s="560" t="s">
        <v>462</v>
      </c>
      <c r="D260" s="560" t="s">
        <v>291</v>
      </c>
      <c r="E260" s="560">
        <v>162</v>
      </c>
      <c r="F260" s="560">
        <v>6</v>
      </c>
      <c r="G260" s="560" t="s">
        <v>34</v>
      </c>
      <c r="H260" s="566">
        <v>2076.9230769230771</v>
      </c>
      <c r="I260" s="567" t="s">
        <v>499</v>
      </c>
      <c r="J260" s="568" t="s">
        <v>288</v>
      </c>
      <c r="L260" s="373">
        <v>1</v>
      </c>
    </row>
    <row r="261" spans="1:12">
      <c r="A261" s="565">
        <v>256</v>
      </c>
      <c r="B261" s="560" t="s">
        <v>278</v>
      </c>
      <c r="C261" s="560" t="s">
        <v>462</v>
      </c>
      <c r="D261" s="560" t="s">
        <v>291</v>
      </c>
      <c r="E261" s="560">
        <v>136</v>
      </c>
      <c r="F261" s="560">
        <v>4</v>
      </c>
      <c r="G261" s="560" t="s">
        <v>34</v>
      </c>
      <c r="H261" s="566">
        <v>1743.5897435897436</v>
      </c>
      <c r="I261" s="567" t="s">
        <v>499</v>
      </c>
      <c r="J261" s="568" t="s">
        <v>288</v>
      </c>
      <c r="L261" s="373">
        <v>1</v>
      </c>
    </row>
    <row r="262" spans="1:12">
      <c r="A262" s="565">
        <v>257</v>
      </c>
      <c r="B262" s="560" t="s">
        <v>277</v>
      </c>
      <c r="C262" s="560" t="s">
        <v>462</v>
      </c>
      <c r="D262" s="560" t="s">
        <v>291</v>
      </c>
      <c r="E262" s="560">
        <v>230</v>
      </c>
      <c r="F262" s="560">
        <v>11</v>
      </c>
      <c r="G262" s="560" t="s">
        <v>34</v>
      </c>
      <c r="H262" s="566">
        <v>2948.7179487179487</v>
      </c>
      <c r="I262" s="567" t="s">
        <v>499</v>
      </c>
      <c r="J262" s="568" t="s">
        <v>288</v>
      </c>
      <c r="L262" s="373">
        <v>1</v>
      </c>
    </row>
    <row r="263" spans="1:12" ht="21">
      <c r="A263" s="565">
        <v>258</v>
      </c>
      <c r="B263" s="560" t="s">
        <v>277</v>
      </c>
      <c r="C263" s="560" t="s">
        <v>462</v>
      </c>
      <c r="D263" s="560" t="s">
        <v>293</v>
      </c>
      <c r="E263" s="560">
        <v>220</v>
      </c>
      <c r="F263" s="560">
        <v>10</v>
      </c>
      <c r="G263" s="560" t="s">
        <v>34</v>
      </c>
      <c r="H263" s="566">
        <v>2820.5128205128203</v>
      </c>
      <c r="I263" s="567" t="s">
        <v>489</v>
      </c>
      <c r="J263" s="568" t="s">
        <v>288</v>
      </c>
      <c r="L263" s="373">
        <v>1</v>
      </c>
    </row>
    <row r="264" spans="1:12">
      <c r="A264" s="565">
        <v>259</v>
      </c>
      <c r="B264" s="560" t="s">
        <v>278</v>
      </c>
      <c r="C264" s="560" t="s">
        <v>462</v>
      </c>
      <c r="D264" s="560" t="s">
        <v>291</v>
      </c>
      <c r="E264" s="560">
        <v>161</v>
      </c>
      <c r="F264" s="560">
        <v>6</v>
      </c>
      <c r="G264" s="560" t="s">
        <v>34</v>
      </c>
      <c r="H264" s="566">
        <v>2064.102564102564</v>
      </c>
      <c r="I264" s="567" t="s">
        <v>499</v>
      </c>
      <c r="J264" s="568" t="s">
        <v>288</v>
      </c>
      <c r="L264" s="373">
        <v>1</v>
      </c>
    </row>
    <row r="265" spans="1:12" ht="21">
      <c r="A265" s="565">
        <v>260</v>
      </c>
      <c r="B265" s="560" t="s">
        <v>277</v>
      </c>
      <c r="C265" s="560" t="s">
        <v>462</v>
      </c>
      <c r="D265" s="560" t="s">
        <v>292</v>
      </c>
      <c r="E265" s="560">
        <v>159</v>
      </c>
      <c r="F265" s="560">
        <v>7</v>
      </c>
      <c r="G265" s="560" t="s">
        <v>34</v>
      </c>
      <c r="H265" s="566">
        <v>2038.4615384615386</v>
      </c>
      <c r="I265" s="567" t="s">
        <v>288</v>
      </c>
      <c r="J265" s="568" t="s">
        <v>496</v>
      </c>
      <c r="L265" s="373">
        <v>1</v>
      </c>
    </row>
    <row r="266" spans="1:12" ht="21">
      <c r="A266" s="565">
        <v>261</v>
      </c>
      <c r="B266" s="560" t="s">
        <v>277</v>
      </c>
      <c r="C266" s="560" t="s">
        <v>462</v>
      </c>
      <c r="D266" s="560" t="s">
        <v>291</v>
      </c>
      <c r="E266" s="560">
        <v>180</v>
      </c>
      <c r="F266" s="560">
        <v>10</v>
      </c>
      <c r="G266" s="560" t="s">
        <v>34</v>
      </c>
      <c r="H266" s="566">
        <v>2307.6923076923076</v>
      </c>
      <c r="I266" s="567" t="s">
        <v>464</v>
      </c>
      <c r="J266" s="568" t="s">
        <v>498</v>
      </c>
      <c r="L266" s="373">
        <v>1</v>
      </c>
    </row>
    <row r="267" spans="1:12" ht="21">
      <c r="A267" s="565">
        <v>262</v>
      </c>
      <c r="B267" s="560" t="s">
        <v>278</v>
      </c>
      <c r="C267" s="560" t="s">
        <v>462</v>
      </c>
      <c r="D267" s="560" t="s">
        <v>291</v>
      </c>
      <c r="E267" s="560">
        <v>171</v>
      </c>
      <c r="F267" s="560">
        <v>5</v>
      </c>
      <c r="G267" s="560" t="s">
        <v>34</v>
      </c>
      <c r="H267" s="566">
        <v>2192.3076923076924</v>
      </c>
      <c r="I267" s="567" t="s">
        <v>489</v>
      </c>
      <c r="J267" s="568" t="s">
        <v>288</v>
      </c>
      <c r="L267" s="373">
        <v>1</v>
      </c>
    </row>
    <row r="268" spans="1:12" ht="21">
      <c r="A268" s="565">
        <v>263</v>
      </c>
      <c r="B268" s="560" t="s">
        <v>278</v>
      </c>
      <c r="C268" s="560" t="s">
        <v>462</v>
      </c>
      <c r="D268" s="560" t="s">
        <v>292</v>
      </c>
      <c r="E268" s="560">
        <v>131</v>
      </c>
      <c r="F268" s="560">
        <v>4</v>
      </c>
      <c r="G268" s="560" t="s">
        <v>34</v>
      </c>
      <c r="H268" s="566">
        <v>1679.4871794871794</v>
      </c>
      <c r="I268" s="567" t="s">
        <v>288</v>
      </c>
      <c r="J268" s="568" t="s">
        <v>496</v>
      </c>
      <c r="L268" s="373">
        <v>1</v>
      </c>
    </row>
    <row r="269" spans="1:12" ht="21">
      <c r="A269" s="565">
        <v>264</v>
      </c>
      <c r="B269" s="560" t="s">
        <v>278</v>
      </c>
      <c r="C269" s="560" t="s">
        <v>462</v>
      </c>
      <c r="D269" s="560" t="s">
        <v>294</v>
      </c>
      <c r="E269" s="560">
        <v>170</v>
      </c>
      <c r="F269" s="560">
        <v>5</v>
      </c>
      <c r="G269" s="560" t="s">
        <v>34</v>
      </c>
      <c r="H269" s="566">
        <v>2179.4871794871797</v>
      </c>
      <c r="I269" s="567" t="s">
        <v>489</v>
      </c>
      <c r="J269" s="568" t="s">
        <v>288</v>
      </c>
      <c r="L269" s="373">
        <v>1</v>
      </c>
    </row>
    <row r="270" spans="1:12" ht="21">
      <c r="A270" s="565">
        <v>265</v>
      </c>
      <c r="B270" s="560" t="s">
        <v>278</v>
      </c>
      <c r="C270" s="560" t="s">
        <v>462</v>
      </c>
      <c r="D270" s="560" t="s">
        <v>293</v>
      </c>
      <c r="E270" s="560">
        <v>131</v>
      </c>
      <c r="F270" s="560">
        <v>3</v>
      </c>
      <c r="G270" s="560" t="s">
        <v>34</v>
      </c>
      <c r="H270" s="566">
        <v>1679.4871794871794</v>
      </c>
      <c r="I270" s="567" t="s">
        <v>489</v>
      </c>
      <c r="J270" s="568" t="s">
        <v>288</v>
      </c>
      <c r="L270" s="373">
        <v>1</v>
      </c>
    </row>
    <row r="271" spans="1:12" ht="21">
      <c r="A271" s="565">
        <v>266</v>
      </c>
      <c r="B271" s="560" t="s">
        <v>278</v>
      </c>
      <c r="C271" s="560" t="s">
        <v>462</v>
      </c>
      <c r="D271" s="560" t="s">
        <v>291</v>
      </c>
      <c r="E271" s="560">
        <v>145</v>
      </c>
      <c r="F271" s="560">
        <v>5</v>
      </c>
      <c r="G271" s="560" t="s">
        <v>34</v>
      </c>
      <c r="H271" s="566">
        <v>1858.9743589743589</v>
      </c>
      <c r="I271" s="567" t="s">
        <v>464</v>
      </c>
      <c r="J271" s="568" t="s">
        <v>498</v>
      </c>
      <c r="L271" s="373">
        <v>1</v>
      </c>
    </row>
    <row r="272" spans="1:12" ht="21">
      <c r="A272" s="565">
        <v>267</v>
      </c>
      <c r="B272" s="560" t="s">
        <v>278</v>
      </c>
      <c r="C272" s="560" t="s">
        <v>462</v>
      </c>
      <c r="D272" s="560" t="s">
        <v>291</v>
      </c>
      <c r="E272" s="560">
        <v>119</v>
      </c>
      <c r="F272" s="560">
        <v>4</v>
      </c>
      <c r="G272" s="560" t="s">
        <v>286</v>
      </c>
      <c r="H272" s="566">
        <v>3.3380084151472653</v>
      </c>
      <c r="I272" s="567" t="s">
        <v>288</v>
      </c>
      <c r="J272" s="568" t="s">
        <v>496</v>
      </c>
      <c r="L272" s="373">
        <v>1</v>
      </c>
    </row>
    <row r="273" spans="1:12">
      <c r="A273" s="565">
        <v>268</v>
      </c>
      <c r="B273" s="560" t="s">
        <v>278</v>
      </c>
      <c r="C273" s="560" t="s">
        <v>462</v>
      </c>
      <c r="D273" s="560" t="s">
        <v>291</v>
      </c>
      <c r="E273" s="560">
        <v>121</v>
      </c>
      <c r="F273" s="560">
        <v>3</v>
      </c>
      <c r="G273" s="560" t="s">
        <v>34</v>
      </c>
      <c r="H273" s="566">
        <v>1551.2820512820513</v>
      </c>
      <c r="I273" s="567" t="s">
        <v>499</v>
      </c>
      <c r="J273" s="568" t="s">
        <v>288</v>
      </c>
      <c r="L273" s="373">
        <v>1</v>
      </c>
    </row>
    <row r="274" spans="1:12">
      <c r="A274" s="565">
        <v>269</v>
      </c>
      <c r="B274" s="560" t="s">
        <v>278</v>
      </c>
      <c r="C274" s="560" t="s">
        <v>462</v>
      </c>
      <c r="D274" s="560" t="s">
        <v>291</v>
      </c>
      <c r="E274" s="560">
        <v>111</v>
      </c>
      <c r="F274" s="560">
        <v>5</v>
      </c>
      <c r="G274" s="560" t="s">
        <v>34</v>
      </c>
      <c r="H274" s="566">
        <v>1423.0769230769231</v>
      </c>
      <c r="I274" s="567" t="s">
        <v>499</v>
      </c>
      <c r="J274" s="568" t="s">
        <v>500</v>
      </c>
      <c r="L274" s="373">
        <v>1</v>
      </c>
    </row>
    <row r="275" spans="1:12">
      <c r="A275" s="565">
        <v>270</v>
      </c>
      <c r="B275" s="560" t="s">
        <v>278</v>
      </c>
      <c r="C275" s="560" t="s">
        <v>462</v>
      </c>
      <c r="D275" s="560" t="s">
        <v>291</v>
      </c>
      <c r="E275" s="560">
        <v>111</v>
      </c>
      <c r="F275" s="560">
        <v>5</v>
      </c>
      <c r="G275" s="560" t="s">
        <v>34</v>
      </c>
      <c r="H275" s="566">
        <v>1423.0769230769231</v>
      </c>
      <c r="I275" s="567" t="s">
        <v>499</v>
      </c>
      <c r="J275" s="568" t="s">
        <v>500</v>
      </c>
      <c r="L275" s="373">
        <v>1</v>
      </c>
    </row>
    <row r="276" spans="1:12">
      <c r="A276" s="565">
        <v>271</v>
      </c>
      <c r="B276" s="560" t="s">
        <v>278</v>
      </c>
      <c r="C276" s="560" t="s">
        <v>462</v>
      </c>
      <c r="D276" s="560" t="s">
        <v>291</v>
      </c>
      <c r="E276" s="560">
        <v>210</v>
      </c>
      <c r="F276" s="560">
        <v>6</v>
      </c>
      <c r="G276" s="560" t="s">
        <v>34</v>
      </c>
      <c r="H276" s="566">
        <v>2692.3076923076924</v>
      </c>
      <c r="I276" s="567" t="s">
        <v>499</v>
      </c>
      <c r="J276" s="568" t="s">
        <v>288</v>
      </c>
      <c r="L276" s="373">
        <v>1</v>
      </c>
    </row>
    <row r="277" spans="1:12">
      <c r="A277" s="565">
        <v>272</v>
      </c>
      <c r="B277" s="560" t="s">
        <v>278</v>
      </c>
      <c r="C277" s="560" t="s">
        <v>462</v>
      </c>
      <c r="D277" s="560" t="s">
        <v>291</v>
      </c>
      <c r="E277" s="560">
        <v>128</v>
      </c>
      <c r="F277" s="560">
        <v>3</v>
      </c>
      <c r="G277" s="560" t="s">
        <v>34</v>
      </c>
      <c r="H277" s="566">
        <v>1641.0256410256411</v>
      </c>
      <c r="I277" s="567" t="s">
        <v>499</v>
      </c>
      <c r="J277" s="568" t="s">
        <v>500</v>
      </c>
      <c r="L277" s="373">
        <v>1</v>
      </c>
    </row>
    <row r="278" spans="1:12">
      <c r="A278" s="565">
        <v>273</v>
      </c>
      <c r="B278" s="560" t="s">
        <v>278</v>
      </c>
      <c r="C278" s="560" t="s">
        <v>462</v>
      </c>
      <c r="D278" s="560" t="s">
        <v>291</v>
      </c>
      <c r="E278" s="560">
        <v>155</v>
      </c>
      <c r="F278" s="560">
        <v>4</v>
      </c>
      <c r="G278" s="560" t="s">
        <v>34</v>
      </c>
      <c r="H278" s="566">
        <v>1987.1794871794871</v>
      </c>
      <c r="I278" s="567" t="s">
        <v>499</v>
      </c>
      <c r="J278" s="568" t="s">
        <v>500</v>
      </c>
      <c r="L278" s="373">
        <v>1</v>
      </c>
    </row>
    <row r="279" spans="1:12" ht="21">
      <c r="A279" s="565">
        <v>274</v>
      </c>
      <c r="B279" s="560" t="s">
        <v>278</v>
      </c>
      <c r="C279" s="560" t="s">
        <v>462</v>
      </c>
      <c r="D279" s="560" t="s">
        <v>293</v>
      </c>
      <c r="E279" s="560">
        <v>168</v>
      </c>
      <c r="F279" s="560">
        <v>6</v>
      </c>
      <c r="G279" s="560" t="s">
        <v>34</v>
      </c>
      <c r="H279" s="566">
        <v>2153.8461538461538</v>
      </c>
      <c r="I279" s="567" t="s">
        <v>489</v>
      </c>
      <c r="J279" s="568" t="s">
        <v>288</v>
      </c>
      <c r="L279" s="373">
        <v>1</v>
      </c>
    </row>
    <row r="280" spans="1:12">
      <c r="A280" s="565">
        <v>275</v>
      </c>
      <c r="B280" s="560" t="s">
        <v>278</v>
      </c>
      <c r="C280" s="560" t="s">
        <v>462</v>
      </c>
      <c r="D280" s="560" t="s">
        <v>293</v>
      </c>
      <c r="E280" s="560">
        <v>172</v>
      </c>
      <c r="F280" s="560">
        <v>5</v>
      </c>
      <c r="G280" s="560" t="s">
        <v>34</v>
      </c>
      <c r="H280" s="566">
        <v>2205.1282051282051</v>
      </c>
      <c r="I280" s="567" t="s">
        <v>499</v>
      </c>
      <c r="J280" s="568" t="s">
        <v>288</v>
      </c>
      <c r="L280" s="373">
        <v>1</v>
      </c>
    </row>
    <row r="281" spans="1:12">
      <c r="A281" s="565">
        <v>276</v>
      </c>
      <c r="B281" s="560" t="s">
        <v>278</v>
      </c>
      <c r="C281" s="560" t="s">
        <v>462</v>
      </c>
      <c r="D281" s="560" t="s">
        <v>292</v>
      </c>
      <c r="E281" s="560">
        <v>110</v>
      </c>
      <c r="F281" s="560">
        <v>3</v>
      </c>
      <c r="G281" s="560" t="s">
        <v>34</v>
      </c>
      <c r="H281" s="566">
        <v>1410.2564102564102</v>
      </c>
      <c r="I281" s="567" t="s">
        <v>464</v>
      </c>
      <c r="J281" s="568" t="s">
        <v>288</v>
      </c>
      <c r="L281" s="373">
        <v>1</v>
      </c>
    </row>
    <row r="282" spans="1:12" ht="21">
      <c r="A282" s="565">
        <v>277</v>
      </c>
      <c r="B282" s="560" t="s">
        <v>278</v>
      </c>
      <c r="C282" s="560" t="s">
        <v>462</v>
      </c>
      <c r="D282" s="560" t="s">
        <v>293</v>
      </c>
      <c r="E282" s="560">
        <v>159</v>
      </c>
      <c r="F282" s="560">
        <v>5</v>
      </c>
      <c r="G282" s="560" t="s">
        <v>34</v>
      </c>
      <c r="H282" s="566">
        <v>2038.4615384615386</v>
      </c>
      <c r="I282" s="567" t="s">
        <v>489</v>
      </c>
      <c r="J282" s="568" t="s">
        <v>288</v>
      </c>
      <c r="L282" s="373">
        <v>1</v>
      </c>
    </row>
    <row r="283" spans="1:12" ht="21">
      <c r="A283" s="565">
        <v>278</v>
      </c>
      <c r="B283" s="560" t="s">
        <v>278</v>
      </c>
      <c r="C283" s="560" t="s">
        <v>462</v>
      </c>
      <c r="D283" s="560" t="s">
        <v>291</v>
      </c>
      <c r="E283" s="560">
        <v>124</v>
      </c>
      <c r="F283" s="560">
        <v>3</v>
      </c>
      <c r="G283" s="560" t="s">
        <v>34</v>
      </c>
      <c r="H283" s="566">
        <v>1589.7435897435898</v>
      </c>
      <c r="I283" s="567" t="s">
        <v>464</v>
      </c>
      <c r="J283" s="568" t="s">
        <v>498</v>
      </c>
      <c r="L283" s="373">
        <v>1</v>
      </c>
    </row>
    <row r="284" spans="1:12" ht="21">
      <c r="A284" s="565">
        <v>279</v>
      </c>
      <c r="B284" s="560" t="s">
        <v>278</v>
      </c>
      <c r="C284" s="560" t="s">
        <v>510</v>
      </c>
      <c r="D284" s="560" t="s">
        <v>291</v>
      </c>
      <c r="E284" s="560">
        <v>149</v>
      </c>
      <c r="F284" s="560">
        <v>5</v>
      </c>
      <c r="G284" s="560" t="s">
        <v>34</v>
      </c>
      <c r="H284" s="566">
        <v>1910.2564102564102</v>
      </c>
      <c r="I284" s="567" t="s">
        <v>288</v>
      </c>
      <c r="J284" s="568" t="s">
        <v>496</v>
      </c>
      <c r="L284" s="373">
        <v>1</v>
      </c>
    </row>
    <row r="285" spans="1:12">
      <c r="A285" s="565">
        <v>280</v>
      </c>
      <c r="B285" s="560" t="s">
        <v>278</v>
      </c>
      <c r="C285" s="560" t="s">
        <v>510</v>
      </c>
      <c r="D285" s="560" t="s">
        <v>291</v>
      </c>
      <c r="E285" s="560">
        <v>119</v>
      </c>
      <c r="F285" s="560">
        <v>3</v>
      </c>
      <c r="G285" s="560" t="s">
        <v>286</v>
      </c>
      <c r="H285" s="566">
        <v>3.3380084151472653</v>
      </c>
      <c r="I285" s="567" t="s">
        <v>499</v>
      </c>
      <c r="J285" s="568" t="s">
        <v>288</v>
      </c>
      <c r="L285" s="373">
        <v>1</v>
      </c>
    </row>
    <row r="286" spans="1:12">
      <c r="A286" s="565">
        <v>281</v>
      </c>
      <c r="B286" s="560" t="s">
        <v>278</v>
      </c>
      <c r="C286" s="560" t="s">
        <v>510</v>
      </c>
      <c r="D286" s="560" t="s">
        <v>293</v>
      </c>
      <c r="E286" s="560">
        <v>110</v>
      </c>
      <c r="F286" s="560">
        <v>2</v>
      </c>
      <c r="G286" s="560" t="s">
        <v>34</v>
      </c>
      <c r="H286" s="566">
        <v>1410.2564102564102</v>
      </c>
      <c r="I286" s="567" t="s">
        <v>499</v>
      </c>
      <c r="J286" s="568" t="s">
        <v>500</v>
      </c>
      <c r="L286" s="373">
        <v>1</v>
      </c>
    </row>
    <row r="287" spans="1:12">
      <c r="A287" s="565">
        <v>282</v>
      </c>
      <c r="B287" s="560" t="s">
        <v>278</v>
      </c>
      <c r="C287" s="560" t="s">
        <v>510</v>
      </c>
      <c r="D287" s="560" t="s">
        <v>291</v>
      </c>
      <c r="E287" s="560">
        <v>139</v>
      </c>
      <c r="F287" s="560">
        <v>4</v>
      </c>
      <c r="G287" s="560" t="s">
        <v>115</v>
      </c>
      <c r="H287" s="566">
        <v>0</v>
      </c>
      <c r="I287" s="567" t="s">
        <v>499</v>
      </c>
      <c r="J287" s="568" t="s">
        <v>288</v>
      </c>
      <c r="L287" s="373">
        <v>1</v>
      </c>
    </row>
    <row r="288" spans="1:12">
      <c r="A288" s="565">
        <v>283</v>
      </c>
      <c r="B288" s="560" t="s">
        <v>278</v>
      </c>
      <c r="C288" s="560" t="s">
        <v>510</v>
      </c>
      <c r="D288" s="560" t="s">
        <v>293</v>
      </c>
      <c r="E288" s="560">
        <v>162</v>
      </c>
      <c r="F288" s="560">
        <v>5</v>
      </c>
      <c r="G288" s="560" t="s">
        <v>115</v>
      </c>
      <c r="H288" s="566">
        <v>0</v>
      </c>
      <c r="I288" s="567" t="s">
        <v>499</v>
      </c>
      <c r="J288" s="568" t="s">
        <v>288</v>
      </c>
      <c r="L288" s="373">
        <v>1</v>
      </c>
    </row>
    <row r="289" spans="1:12" ht="21">
      <c r="A289" s="565">
        <v>284</v>
      </c>
      <c r="B289" s="560" t="s">
        <v>278</v>
      </c>
      <c r="C289" s="560" t="s">
        <v>510</v>
      </c>
      <c r="D289" s="560" t="s">
        <v>291</v>
      </c>
      <c r="E289" s="560">
        <v>121</v>
      </c>
      <c r="F289" s="560">
        <v>2</v>
      </c>
      <c r="G289" s="560" t="s">
        <v>115</v>
      </c>
      <c r="H289" s="566">
        <v>0</v>
      </c>
      <c r="I289" s="567" t="s">
        <v>464</v>
      </c>
      <c r="J289" s="568" t="s">
        <v>498</v>
      </c>
      <c r="L289" s="373">
        <v>1</v>
      </c>
    </row>
    <row r="290" spans="1:12" ht="21">
      <c r="A290" s="565">
        <v>285</v>
      </c>
      <c r="B290" s="560" t="s">
        <v>278</v>
      </c>
      <c r="C290" s="560" t="s">
        <v>510</v>
      </c>
      <c r="D290" s="560" t="s">
        <v>291</v>
      </c>
      <c r="E290" s="560">
        <v>128</v>
      </c>
      <c r="F290" s="560">
        <v>3</v>
      </c>
      <c r="G290" s="560" t="s">
        <v>115</v>
      </c>
      <c r="H290" s="566">
        <v>0</v>
      </c>
      <c r="I290" s="567" t="s">
        <v>489</v>
      </c>
      <c r="J290" s="568" t="s">
        <v>288</v>
      </c>
      <c r="L290" s="373">
        <v>1</v>
      </c>
    </row>
    <row r="291" spans="1:12">
      <c r="A291" s="565">
        <v>286</v>
      </c>
      <c r="B291" s="560" t="s">
        <v>278</v>
      </c>
      <c r="C291" s="560" t="s">
        <v>510</v>
      </c>
      <c r="D291" s="560" t="s">
        <v>291</v>
      </c>
      <c r="E291" s="560">
        <v>178</v>
      </c>
      <c r="F291" s="560">
        <v>6</v>
      </c>
      <c r="G291" s="560" t="s">
        <v>115</v>
      </c>
      <c r="H291" s="566">
        <v>0</v>
      </c>
      <c r="I291" s="567" t="s">
        <v>499</v>
      </c>
      <c r="J291" s="568" t="s">
        <v>288</v>
      </c>
      <c r="L291" s="373">
        <v>1</v>
      </c>
    </row>
    <row r="292" spans="1:12" ht="21">
      <c r="A292" s="565">
        <v>287</v>
      </c>
      <c r="B292" s="560" t="s">
        <v>278</v>
      </c>
      <c r="C292" s="560" t="s">
        <v>510</v>
      </c>
      <c r="D292" s="560" t="s">
        <v>291</v>
      </c>
      <c r="E292" s="560">
        <v>132</v>
      </c>
      <c r="F292" s="560">
        <v>3</v>
      </c>
      <c r="G292" s="560" t="s">
        <v>115</v>
      </c>
      <c r="H292" s="566">
        <v>0</v>
      </c>
      <c r="I292" s="567" t="s">
        <v>464</v>
      </c>
      <c r="J292" s="568" t="s">
        <v>498</v>
      </c>
      <c r="L292" s="373">
        <v>1</v>
      </c>
    </row>
    <row r="293" spans="1:12">
      <c r="A293" s="565">
        <v>288</v>
      </c>
      <c r="B293" s="560" t="s">
        <v>278</v>
      </c>
      <c r="C293" s="560" t="s">
        <v>510</v>
      </c>
      <c r="D293" s="560" t="s">
        <v>291</v>
      </c>
      <c r="E293" s="560">
        <v>110</v>
      </c>
      <c r="F293" s="560">
        <v>4</v>
      </c>
      <c r="G293" s="560" t="s">
        <v>115</v>
      </c>
      <c r="H293" s="566">
        <v>0</v>
      </c>
      <c r="I293" s="567" t="s">
        <v>499</v>
      </c>
      <c r="J293" s="568" t="s">
        <v>288</v>
      </c>
      <c r="L293" s="373">
        <v>1</v>
      </c>
    </row>
    <row r="294" spans="1:12" ht="21">
      <c r="A294" s="565">
        <v>289</v>
      </c>
      <c r="B294" s="560" t="s">
        <v>278</v>
      </c>
      <c r="C294" s="560" t="s">
        <v>510</v>
      </c>
      <c r="D294" s="560" t="s">
        <v>291</v>
      </c>
      <c r="E294" s="560">
        <v>110</v>
      </c>
      <c r="F294" s="560">
        <v>3</v>
      </c>
      <c r="G294" s="560" t="s">
        <v>115</v>
      </c>
      <c r="H294" s="566">
        <v>0</v>
      </c>
      <c r="I294" s="567" t="s">
        <v>288</v>
      </c>
      <c r="J294" s="568" t="s">
        <v>496</v>
      </c>
      <c r="L294" s="373">
        <v>1</v>
      </c>
    </row>
    <row r="295" spans="1:12" ht="21">
      <c r="A295" s="565">
        <v>290</v>
      </c>
      <c r="B295" s="560" t="s">
        <v>278</v>
      </c>
      <c r="C295" s="560" t="s">
        <v>510</v>
      </c>
      <c r="D295" s="560" t="s">
        <v>291</v>
      </c>
      <c r="E295" s="560">
        <v>135</v>
      </c>
      <c r="F295" s="560">
        <v>3</v>
      </c>
      <c r="G295" s="560" t="s">
        <v>287</v>
      </c>
      <c r="H295" s="566">
        <v>27000</v>
      </c>
      <c r="I295" s="567" t="s">
        <v>489</v>
      </c>
      <c r="J295" s="568" t="s">
        <v>288</v>
      </c>
      <c r="L295" s="373">
        <v>1</v>
      </c>
    </row>
    <row r="296" spans="1:12">
      <c r="A296" s="565">
        <v>291</v>
      </c>
      <c r="B296" s="560" t="s">
        <v>278</v>
      </c>
      <c r="C296" s="560" t="s">
        <v>510</v>
      </c>
      <c r="D296" s="560" t="s">
        <v>291</v>
      </c>
      <c r="E296" s="560">
        <v>110</v>
      </c>
      <c r="F296" s="560">
        <v>4</v>
      </c>
      <c r="G296" s="560" t="s">
        <v>287</v>
      </c>
      <c r="H296" s="566">
        <v>22000</v>
      </c>
      <c r="I296" s="567" t="s">
        <v>499</v>
      </c>
      <c r="J296" s="568" t="s">
        <v>288</v>
      </c>
      <c r="L296" s="373">
        <v>1</v>
      </c>
    </row>
    <row r="297" spans="1:12" ht="21">
      <c r="A297" s="565">
        <v>292</v>
      </c>
      <c r="B297" s="560" t="s">
        <v>278</v>
      </c>
      <c r="C297" s="560" t="s">
        <v>510</v>
      </c>
      <c r="D297" s="560" t="s">
        <v>291</v>
      </c>
      <c r="E297" s="560">
        <v>110</v>
      </c>
      <c r="F297" s="560">
        <v>5</v>
      </c>
      <c r="G297" s="560" t="s">
        <v>287</v>
      </c>
      <c r="H297" s="566">
        <v>22000</v>
      </c>
      <c r="I297" s="567" t="s">
        <v>464</v>
      </c>
      <c r="J297" s="568" t="s">
        <v>498</v>
      </c>
      <c r="L297" s="373">
        <v>1</v>
      </c>
    </row>
    <row r="298" spans="1:12" ht="21">
      <c r="A298" s="565">
        <v>293</v>
      </c>
      <c r="B298" s="560" t="s">
        <v>278</v>
      </c>
      <c r="C298" s="560" t="s">
        <v>510</v>
      </c>
      <c r="D298" s="560" t="s">
        <v>292</v>
      </c>
      <c r="E298" s="560">
        <v>153</v>
      </c>
      <c r="F298" s="560">
        <v>5</v>
      </c>
      <c r="G298" s="560" t="s">
        <v>286</v>
      </c>
      <c r="H298" s="566">
        <v>4.2917251051893412</v>
      </c>
      <c r="I298" s="567" t="s">
        <v>464</v>
      </c>
      <c r="J298" s="568" t="s">
        <v>498</v>
      </c>
      <c r="L298" s="373">
        <v>1</v>
      </c>
    </row>
    <row r="299" spans="1:12">
      <c r="A299" s="565">
        <v>294</v>
      </c>
      <c r="B299" s="560" t="s">
        <v>278</v>
      </c>
      <c r="C299" s="560" t="s">
        <v>510</v>
      </c>
      <c r="D299" s="560" t="s">
        <v>291</v>
      </c>
      <c r="E299" s="560">
        <v>141</v>
      </c>
      <c r="F299" s="560">
        <v>4</v>
      </c>
      <c r="G299" s="560" t="s">
        <v>286</v>
      </c>
      <c r="H299" s="566">
        <v>3.9551192145862553</v>
      </c>
      <c r="I299" s="567" t="s">
        <v>499</v>
      </c>
      <c r="J299" s="568" t="s">
        <v>288</v>
      </c>
      <c r="L299" s="373">
        <v>1</v>
      </c>
    </row>
    <row r="300" spans="1:12">
      <c r="A300" s="565">
        <v>295</v>
      </c>
      <c r="B300" s="560" t="s">
        <v>278</v>
      </c>
      <c r="C300" s="560" t="s">
        <v>510</v>
      </c>
      <c r="D300" s="560" t="s">
        <v>291</v>
      </c>
      <c r="E300" s="560">
        <v>127</v>
      </c>
      <c r="F300" s="560">
        <v>4</v>
      </c>
      <c r="G300" s="560" t="s">
        <v>286</v>
      </c>
      <c r="H300" s="566">
        <v>3.562412342215989</v>
      </c>
      <c r="I300" s="567" t="s">
        <v>499</v>
      </c>
      <c r="J300" s="568" t="s">
        <v>288</v>
      </c>
      <c r="L300" s="373">
        <v>1</v>
      </c>
    </row>
    <row r="301" spans="1:12">
      <c r="A301" s="565">
        <v>296</v>
      </c>
      <c r="B301" s="560" t="s">
        <v>278</v>
      </c>
      <c r="C301" s="560" t="s">
        <v>510</v>
      </c>
      <c r="D301" s="560" t="s">
        <v>291</v>
      </c>
      <c r="E301" s="560">
        <v>168</v>
      </c>
      <c r="F301" s="560">
        <v>3</v>
      </c>
      <c r="G301" s="560" t="s">
        <v>286</v>
      </c>
      <c r="H301" s="566">
        <v>4.7124824684431976</v>
      </c>
      <c r="I301" s="567" t="s">
        <v>499</v>
      </c>
      <c r="J301" s="568" t="s">
        <v>288</v>
      </c>
      <c r="L301" s="373">
        <v>1</v>
      </c>
    </row>
    <row r="302" spans="1:12" ht="21">
      <c r="A302" s="565">
        <v>297</v>
      </c>
      <c r="B302" s="560" t="s">
        <v>278</v>
      </c>
      <c r="C302" s="560" t="s">
        <v>510</v>
      </c>
      <c r="D302" s="560" t="s">
        <v>293</v>
      </c>
      <c r="E302" s="560">
        <v>180</v>
      </c>
      <c r="F302" s="560">
        <v>5</v>
      </c>
      <c r="G302" s="560" t="s">
        <v>286</v>
      </c>
      <c r="H302" s="566">
        <v>5.0490883590462836</v>
      </c>
      <c r="I302" s="567" t="s">
        <v>489</v>
      </c>
      <c r="J302" s="568" t="s">
        <v>288</v>
      </c>
      <c r="L302" s="373">
        <v>1</v>
      </c>
    </row>
    <row r="303" spans="1:12">
      <c r="A303" s="565">
        <v>298</v>
      </c>
      <c r="B303" s="560" t="s">
        <v>278</v>
      </c>
      <c r="C303" s="560" t="s">
        <v>510</v>
      </c>
      <c r="D303" s="560" t="s">
        <v>291</v>
      </c>
      <c r="E303" s="560">
        <v>200</v>
      </c>
      <c r="F303" s="560">
        <v>6</v>
      </c>
      <c r="G303" s="560" t="s">
        <v>286</v>
      </c>
      <c r="H303" s="566">
        <v>5.6100981767180924</v>
      </c>
      <c r="I303" s="567" t="s">
        <v>499</v>
      </c>
      <c r="J303" s="568" t="s">
        <v>288</v>
      </c>
      <c r="L303" s="373">
        <v>1</v>
      </c>
    </row>
    <row r="304" spans="1:12" ht="21">
      <c r="A304" s="565">
        <v>299</v>
      </c>
      <c r="B304" s="560" t="s">
        <v>278</v>
      </c>
      <c r="C304" s="560" t="s">
        <v>510</v>
      </c>
      <c r="D304" s="560" t="s">
        <v>291</v>
      </c>
      <c r="E304" s="560">
        <v>150</v>
      </c>
      <c r="F304" s="560">
        <v>3</v>
      </c>
      <c r="G304" s="560" t="s">
        <v>286</v>
      </c>
      <c r="H304" s="566">
        <v>4.20757363253857</v>
      </c>
      <c r="I304" s="567" t="s">
        <v>464</v>
      </c>
      <c r="J304" s="568" t="s">
        <v>498</v>
      </c>
      <c r="L304" s="373">
        <v>1</v>
      </c>
    </row>
    <row r="305" spans="1:12">
      <c r="A305" s="565">
        <v>300</v>
      </c>
      <c r="B305" s="560" t="s">
        <v>278</v>
      </c>
      <c r="C305" s="560" t="s">
        <v>510</v>
      </c>
      <c r="D305" s="560" t="s">
        <v>291</v>
      </c>
      <c r="E305" s="560">
        <v>220</v>
      </c>
      <c r="F305" s="560">
        <v>5</v>
      </c>
      <c r="G305" s="560" t="s">
        <v>286</v>
      </c>
      <c r="H305" s="566">
        <v>6.1711079943899021</v>
      </c>
      <c r="I305" s="567" t="s">
        <v>499</v>
      </c>
      <c r="J305" s="568" t="s">
        <v>288</v>
      </c>
      <c r="L305" s="373">
        <v>1</v>
      </c>
    </row>
    <row r="306" spans="1:12">
      <c r="A306" s="565">
        <v>301</v>
      </c>
      <c r="B306" s="560" t="s">
        <v>278</v>
      </c>
      <c r="C306" s="560" t="s">
        <v>510</v>
      </c>
      <c r="D306" s="560" t="s">
        <v>291</v>
      </c>
      <c r="E306" s="560">
        <v>150</v>
      </c>
      <c r="F306" s="560">
        <v>4</v>
      </c>
      <c r="G306" s="560" t="s">
        <v>286</v>
      </c>
      <c r="H306" s="566">
        <v>4.20757363253857</v>
      </c>
      <c r="I306" s="567" t="s">
        <v>464</v>
      </c>
      <c r="J306" s="568" t="s">
        <v>288</v>
      </c>
      <c r="L306" s="373">
        <v>1</v>
      </c>
    </row>
    <row r="307" spans="1:12" ht="21">
      <c r="A307" s="565">
        <v>302</v>
      </c>
      <c r="B307" s="560" t="s">
        <v>278</v>
      </c>
      <c r="C307" s="560" t="s">
        <v>510</v>
      </c>
      <c r="D307" s="560" t="s">
        <v>291</v>
      </c>
      <c r="E307" s="560">
        <v>252</v>
      </c>
      <c r="F307" s="560">
        <v>7</v>
      </c>
      <c r="G307" s="560" t="s">
        <v>286</v>
      </c>
      <c r="H307" s="566">
        <v>7.0687237026647969</v>
      </c>
      <c r="I307" s="567" t="s">
        <v>464</v>
      </c>
      <c r="J307" s="568" t="s">
        <v>498</v>
      </c>
      <c r="L307" s="373">
        <v>1</v>
      </c>
    </row>
    <row r="308" spans="1:12">
      <c r="A308" s="565">
        <v>303</v>
      </c>
      <c r="B308" s="560" t="s">
        <v>278</v>
      </c>
      <c r="C308" s="560" t="s">
        <v>510</v>
      </c>
      <c r="D308" s="560" t="s">
        <v>291</v>
      </c>
      <c r="E308" s="560">
        <v>130</v>
      </c>
      <c r="F308" s="560">
        <v>3</v>
      </c>
      <c r="G308" s="560" t="s">
        <v>286</v>
      </c>
      <c r="H308" s="566">
        <v>3.6465638148667603</v>
      </c>
      <c r="I308" s="567" t="s">
        <v>499</v>
      </c>
      <c r="J308" s="568" t="s">
        <v>288</v>
      </c>
      <c r="L308" s="373">
        <v>1</v>
      </c>
    </row>
    <row r="309" spans="1:12">
      <c r="A309" s="565">
        <v>304</v>
      </c>
      <c r="B309" s="560" t="s">
        <v>278</v>
      </c>
      <c r="C309" s="560" t="s">
        <v>510</v>
      </c>
      <c r="D309" s="560" t="s">
        <v>291</v>
      </c>
      <c r="E309" s="560">
        <v>183</v>
      </c>
      <c r="F309" s="560">
        <v>6</v>
      </c>
      <c r="G309" s="560" t="s">
        <v>34</v>
      </c>
      <c r="H309" s="566">
        <v>2346.1538461538462</v>
      </c>
      <c r="I309" s="567" t="s">
        <v>499</v>
      </c>
      <c r="J309" s="568" t="s">
        <v>288</v>
      </c>
      <c r="L309" s="373">
        <v>1</v>
      </c>
    </row>
    <row r="310" spans="1:12">
      <c r="A310" s="565">
        <v>305</v>
      </c>
      <c r="B310" s="560" t="s">
        <v>278</v>
      </c>
      <c r="C310" s="560" t="s">
        <v>510</v>
      </c>
      <c r="D310" s="560" t="s">
        <v>291</v>
      </c>
      <c r="E310" s="560">
        <v>152</v>
      </c>
      <c r="F310" s="560">
        <v>4</v>
      </c>
      <c r="G310" s="560" t="s">
        <v>34</v>
      </c>
      <c r="H310" s="566">
        <v>1948.7179487179487</v>
      </c>
      <c r="I310" s="567" t="s">
        <v>499</v>
      </c>
      <c r="J310" s="568" t="s">
        <v>288</v>
      </c>
      <c r="L310" s="373">
        <v>1</v>
      </c>
    </row>
    <row r="311" spans="1:12">
      <c r="A311" s="565">
        <v>306</v>
      </c>
      <c r="B311" s="560" t="s">
        <v>278</v>
      </c>
      <c r="C311" s="560" t="s">
        <v>510</v>
      </c>
      <c r="D311" s="560" t="s">
        <v>291</v>
      </c>
      <c r="E311" s="560">
        <v>160</v>
      </c>
      <c r="F311" s="560">
        <v>6</v>
      </c>
      <c r="G311" s="560" t="s">
        <v>34</v>
      </c>
      <c r="H311" s="566">
        <v>2051.2820512820513</v>
      </c>
      <c r="I311" s="567" t="s">
        <v>499</v>
      </c>
      <c r="J311" s="568" t="s">
        <v>288</v>
      </c>
      <c r="L311" s="373">
        <v>1</v>
      </c>
    </row>
    <row r="312" spans="1:12">
      <c r="A312" s="565">
        <v>307</v>
      </c>
      <c r="B312" s="560" t="s">
        <v>278</v>
      </c>
      <c r="C312" s="560" t="s">
        <v>510</v>
      </c>
      <c r="D312" s="560" t="s">
        <v>291</v>
      </c>
      <c r="E312" s="560">
        <v>140</v>
      </c>
      <c r="F312" s="560">
        <v>4</v>
      </c>
      <c r="G312" s="560" t="s">
        <v>34</v>
      </c>
      <c r="H312" s="566">
        <v>1794.8717948717949</v>
      </c>
      <c r="I312" s="567" t="s">
        <v>499</v>
      </c>
      <c r="J312" s="568" t="s">
        <v>500</v>
      </c>
      <c r="L312" s="373">
        <v>1</v>
      </c>
    </row>
    <row r="313" spans="1:12">
      <c r="A313" s="565">
        <v>308</v>
      </c>
      <c r="B313" s="560" t="s">
        <v>278</v>
      </c>
      <c r="C313" s="560" t="s">
        <v>510</v>
      </c>
      <c r="D313" s="560" t="s">
        <v>292</v>
      </c>
      <c r="E313" s="560">
        <v>120</v>
      </c>
      <c r="F313" s="560">
        <v>2</v>
      </c>
      <c r="G313" s="560" t="s">
        <v>34</v>
      </c>
      <c r="H313" s="566">
        <v>1538.4615384615386</v>
      </c>
      <c r="I313" s="567" t="s">
        <v>464</v>
      </c>
      <c r="J313" s="568" t="s">
        <v>288</v>
      </c>
      <c r="L313" s="373">
        <v>1</v>
      </c>
    </row>
    <row r="314" spans="1:12" ht="21">
      <c r="A314" s="565">
        <v>309</v>
      </c>
      <c r="B314" s="560" t="s">
        <v>278</v>
      </c>
      <c r="C314" s="560" t="s">
        <v>510</v>
      </c>
      <c r="D314" s="560" t="s">
        <v>291</v>
      </c>
      <c r="E314" s="560">
        <v>128</v>
      </c>
      <c r="F314" s="560">
        <v>5</v>
      </c>
      <c r="G314" s="560" t="s">
        <v>34</v>
      </c>
      <c r="H314" s="566">
        <v>1641.0256410256411</v>
      </c>
      <c r="I314" s="567" t="s">
        <v>464</v>
      </c>
      <c r="J314" s="568" t="s">
        <v>498</v>
      </c>
      <c r="L314" s="373">
        <v>1</v>
      </c>
    </row>
    <row r="315" spans="1:12">
      <c r="A315" s="565">
        <v>310</v>
      </c>
      <c r="B315" s="560" t="s">
        <v>278</v>
      </c>
      <c r="C315" s="560" t="s">
        <v>510</v>
      </c>
      <c r="D315" s="560" t="s">
        <v>291</v>
      </c>
      <c r="E315" s="560">
        <v>146</v>
      </c>
      <c r="F315" s="560">
        <v>3</v>
      </c>
      <c r="G315" s="560" t="s">
        <v>34</v>
      </c>
      <c r="H315" s="566">
        <v>1871.7948717948718</v>
      </c>
      <c r="I315" s="567" t="s">
        <v>499</v>
      </c>
      <c r="J315" s="568" t="s">
        <v>288</v>
      </c>
      <c r="L315" s="373">
        <v>1</v>
      </c>
    </row>
    <row r="316" spans="1:12" ht="21">
      <c r="A316" s="565">
        <v>311</v>
      </c>
      <c r="B316" s="560" t="s">
        <v>278</v>
      </c>
      <c r="C316" s="560" t="s">
        <v>510</v>
      </c>
      <c r="D316" s="560" t="s">
        <v>291</v>
      </c>
      <c r="E316" s="560">
        <v>127</v>
      </c>
      <c r="F316" s="560">
        <v>4</v>
      </c>
      <c r="G316" s="560" t="s">
        <v>34</v>
      </c>
      <c r="H316" s="566">
        <v>1628.2051282051282</v>
      </c>
      <c r="I316" s="567" t="s">
        <v>464</v>
      </c>
      <c r="J316" s="568" t="s">
        <v>498</v>
      </c>
      <c r="L316" s="373">
        <v>1</v>
      </c>
    </row>
    <row r="317" spans="1:12" ht="21">
      <c r="A317" s="565">
        <v>312</v>
      </c>
      <c r="B317" s="560" t="s">
        <v>278</v>
      </c>
      <c r="C317" s="560" t="s">
        <v>510</v>
      </c>
      <c r="D317" s="560" t="s">
        <v>294</v>
      </c>
      <c r="E317" s="560">
        <v>140</v>
      </c>
      <c r="F317" s="560">
        <v>4</v>
      </c>
      <c r="G317" s="560" t="s">
        <v>34</v>
      </c>
      <c r="H317" s="566">
        <v>1794.8717948717949</v>
      </c>
      <c r="I317" s="567" t="s">
        <v>489</v>
      </c>
      <c r="J317" s="568" t="s">
        <v>288</v>
      </c>
      <c r="L317" s="373">
        <v>1</v>
      </c>
    </row>
    <row r="318" spans="1:12" ht="21">
      <c r="A318" s="565">
        <v>313</v>
      </c>
      <c r="B318" s="560" t="s">
        <v>278</v>
      </c>
      <c r="C318" s="560" t="s">
        <v>510</v>
      </c>
      <c r="D318" s="560" t="s">
        <v>294</v>
      </c>
      <c r="E318" s="560">
        <v>120</v>
      </c>
      <c r="F318" s="560">
        <v>3</v>
      </c>
      <c r="G318" s="560" t="s">
        <v>34</v>
      </c>
      <c r="H318" s="566">
        <v>1538.4615384615386</v>
      </c>
      <c r="I318" s="567" t="s">
        <v>489</v>
      </c>
      <c r="J318" s="568" t="s">
        <v>288</v>
      </c>
      <c r="L318" s="373">
        <v>1</v>
      </c>
    </row>
    <row r="319" spans="1:12" ht="21">
      <c r="A319" s="565">
        <v>314</v>
      </c>
      <c r="B319" s="560" t="s">
        <v>278</v>
      </c>
      <c r="C319" s="560" t="s">
        <v>510</v>
      </c>
      <c r="D319" s="560" t="s">
        <v>293</v>
      </c>
      <c r="E319" s="560">
        <v>130</v>
      </c>
      <c r="F319" s="560">
        <v>2</v>
      </c>
      <c r="G319" s="560" t="s">
        <v>34</v>
      </c>
      <c r="H319" s="566">
        <v>1666.6666666666667</v>
      </c>
      <c r="I319" s="567" t="s">
        <v>489</v>
      </c>
      <c r="J319" s="568" t="s">
        <v>288</v>
      </c>
      <c r="L319" s="373">
        <v>1</v>
      </c>
    </row>
    <row r="320" spans="1:12" ht="21">
      <c r="A320" s="565">
        <v>315</v>
      </c>
      <c r="B320" s="560" t="s">
        <v>278</v>
      </c>
      <c r="C320" s="560" t="s">
        <v>510</v>
      </c>
      <c r="D320" s="560" t="s">
        <v>293</v>
      </c>
      <c r="E320" s="560">
        <v>180</v>
      </c>
      <c r="F320" s="560">
        <v>6</v>
      </c>
      <c r="G320" s="560" t="s">
        <v>34</v>
      </c>
      <c r="H320" s="566">
        <v>2307.6923076923076</v>
      </c>
      <c r="I320" s="567" t="s">
        <v>489</v>
      </c>
      <c r="J320" s="568" t="s">
        <v>288</v>
      </c>
      <c r="L320" s="373">
        <v>1</v>
      </c>
    </row>
    <row r="321" spans="1:12" ht="21">
      <c r="A321" s="565">
        <v>316</v>
      </c>
      <c r="B321" s="560" t="s">
        <v>278</v>
      </c>
      <c r="C321" s="560" t="s">
        <v>510</v>
      </c>
      <c r="D321" s="560" t="s">
        <v>294</v>
      </c>
      <c r="E321" s="560">
        <v>140</v>
      </c>
      <c r="F321" s="560">
        <v>4</v>
      </c>
      <c r="G321" s="560" t="s">
        <v>34</v>
      </c>
      <c r="H321" s="566">
        <v>1794.8717948717949</v>
      </c>
      <c r="I321" s="567" t="s">
        <v>489</v>
      </c>
      <c r="J321" s="568" t="s">
        <v>288</v>
      </c>
      <c r="L321" s="373">
        <v>1</v>
      </c>
    </row>
    <row r="322" spans="1:12" ht="21">
      <c r="A322" s="565">
        <v>317</v>
      </c>
      <c r="B322" s="560" t="s">
        <v>278</v>
      </c>
      <c r="C322" s="560" t="s">
        <v>510</v>
      </c>
      <c r="D322" s="560" t="s">
        <v>293</v>
      </c>
      <c r="E322" s="560">
        <v>128</v>
      </c>
      <c r="F322" s="560">
        <v>2</v>
      </c>
      <c r="G322" s="560" t="s">
        <v>34</v>
      </c>
      <c r="H322" s="566">
        <v>1641.0256410256411</v>
      </c>
      <c r="I322" s="567" t="s">
        <v>464</v>
      </c>
      <c r="J322" s="568" t="s">
        <v>498</v>
      </c>
      <c r="L322" s="373">
        <v>1</v>
      </c>
    </row>
    <row r="323" spans="1:12">
      <c r="A323" s="565">
        <v>318</v>
      </c>
      <c r="B323" s="560" t="s">
        <v>278</v>
      </c>
      <c r="C323" s="560" t="s">
        <v>510</v>
      </c>
      <c r="D323" s="560" t="s">
        <v>293</v>
      </c>
      <c r="E323" s="560">
        <v>175</v>
      </c>
      <c r="F323" s="560">
        <v>5</v>
      </c>
      <c r="G323" s="560" t="s">
        <v>34</v>
      </c>
      <c r="H323" s="566">
        <v>2243.5897435897436</v>
      </c>
      <c r="I323" s="567" t="s">
        <v>499</v>
      </c>
      <c r="J323" s="568" t="s">
        <v>500</v>
      </c>
      <c r="L323" s="373">
        <v>1</v>
      </c>
    </row>
    <row r="324" spans="1:12" ht="21">
      <c r="A324" s="565">
        <v>319</v>
      </c>
      <c r="B324" s="560" t="s">
        <v>278</v>
      </c>
      <c r="C324" s="560" t="s">
        <v>510</v>
      </c>
      <c r="D324" s="560" t="s">
        <v>293</v>
      </c>
      <c r="E324" s="560">
        <v>153</v>
      </c>
      <c r="F324" s="560">
        <v>4</v>
      </c>
      <c r="G324" s="560" t="s">
        <v>34</v>
      </c>
      <c r="H324" s="566">
        <v>1961.5384615384614</v>
      </c>
      <c r="I324" s="567" t="s">
        <v>464</v>
      </c>
      <c r="J324" s="568" t="s">
        <v>498</v>
      </c>
      <c r="L324" s="373">
        <v>1</v>
      </c>
    </row>
    <row r="325" spans="1:12">
      <c r="A325" s="565">
        <v>320</v>
      </c>
      <c r="B325" s="560" t="s">
        <v>278</v>
      </c>
      <c r="C325" s="560" t="s">
        <v>510</v>
      </c>
      <c r="D325" s="560" t="s">
        <v>291</v>
      </c>
      <c r="E325" s="560">
        <v>140</v>
      </c>
      <c r="F325" s="560">
        <v>3</v>
      </c>
      <c r="G325" s="560" t="s">
        <v>34</v>
      </c>
      <c r="H325" s="566">
        <v>1794.8717948717949</v>
      </c>
      <c r="I325" s="567" t="s">
        <v>499</v>
      </c>
      <c r="J325" s="568" t="s">
        <v>500</v>
      </c>
      <c r="L325" s="373">
        <v>1</v>
      </c>
    </row>
    <row r="326" spans="1:12">
      <c r="A326" s="565">
        <v>321</v>
      </c>
      <c r="B326" s="560" t="s">
        <v>278</v>
      </c>
      <c r="C326" s="560" t="s">
        <v>510</v>
      </c>
      <c r="D326" s="560" t="s">
        <v>293</v>
      </c>
      <c r="E326" s="560">
        <v>150</v>
      </c>
      <c r="F326" s="560">
        <v>2</v>
      </c>
      <c r="G326" s="560" t="s">
        <v>34</v>
      </c>
      <c r="H326" s="566">
        <v>1923.0769230769231</v>
      </c>
      <c r="I326" s="567" t="s">
        <v>499</v>
      </c>
      <c r="J326" s="568" t="s">
        <v>500</v>
      </c>
      <c r="L326" s="373">
        <v>1</v>
      </c>
    </row>
    <row r="327" spans="1:12">
      <c r="A327" s="565">
        <v>322</v>
      </c>
      <c r="B327" s="560" t="s">
        <v>278</v>
      </c>
      <c r="C327" s="560" t="s">
        <v>510</v>
      </c>
      <c r="D327" s="560" t="s">
        <v>293</v>
      </c>
      <c r="E327" s="560">
        <v>150</v>
      </c>
      <c r="F327" s="560">
        <v>4</v>
      </c>
      <c r="G327" s="560" t="s">
        <v>34</v>
      </c>
      <c r="H327" s="566">
        <v>1923.0769230769231</v>
      </c>
      <c r="I327" s="567" t="s">
        <v>499</v>
      </c>
      <c r="J327" s="568" t="s">
        <v>288</v>
      </c>
      <c r="L327" s="373">
        <v>1</v>
      </c>
    </row>
    <row r="328" spans="1:12">
      <c r="A328" s="565">
        <v>323</v>
      </c>
      <c r="B328" s="560" t="s">
        <v>278</v>
      </c>
      <c r="C328" s="560" t="s">
        <v>510</v>
      </c>
      <c r="D328" s="560" t="s">
        <v>291</v>
      </c>
      <c r="E328" s="560">
        <v>130</v>
      </c>
      <c r="F328" s="560">
        <v>3</v>
      </c>
      <c r="G328" s="560" t="s">
        <v>34</v>
      </c>
      <c r="H328" s="566">
        <v>1666.6666666666667</v>
      </c>
      <c r="I328" s="567" t="s">
        <v>499</v>
      </c>
      <c r="J328" s="568" t="s">
        <v>500</v>
      </c>
      <c r="L328" s="373">
        <v>1</v>
      </c>
    </row>
    <row r="329" spans="1:12" ht="21">
      <c r="A329" s="565">
        <v>324</v>
      </c>
      <c r="B329" s="560" t="s">
        <v>278</v>
      </c>
      <c r="C329" s="560" t="s">
        <v>462</v>
      </c>
      <c r="D329" s="560" t="s">
        <v>293</v>
      </c>
      <c r="E329" s="560">
        <v>150</v>
      </c>
      <c r="F329" s="560">
        <v>3</v>
      </c>
      <c r="G329" s="560" t="s">
        <v>34</v>
      </c>
      <c r="H329" s="566">
        <v>1923.0769230769231</v>
      </c>
      <c r="I329" s="567" t="s">
        <v>489</v>
      </c>
      <c r="J329" s="568" t="s">
        <v>288</v>
      </c>
      <c r="L329" s="373">
        <v>1</v>
      </c>
    </row>
    <row r="330" spans="1:12">
      <c r="A330" s="565">
        <v>325</v>
      </c>
      <c r="B330" s="560" t="s">
        <v>278</v>
      </c>
      <c r="C330" s="560" t="s">
        <v>462</v>
      </c>
      <c r="D330" s="560" t="s">
        <v>293</v>
      </c>
      <c r="E330" s="560">
        <v>180</v>
      </c>
      <c r="F330" s="560">
        <v>5</v>
      </c>
      <c r="G330" s="560" t="s">
        <v>34</v>
      </c>
      <c r="H330" s="566">
        <v>2307.6923076923076</v>
      </c>
      <c r="I330" s="567" t="s">
        <v>499</v>
      </c>
      <c r="J330" s="568" t="s">
        <v>500</v>
      </c>
      <c r="L330" s="373">
        <v>1</v>
      </c>
    </row>
    <row r="331" spans="1:12">
      <c r="A331" s="565">
        <v>326</v>
      </c>
      <c r="B331" s="560" t="s">
        <v>278</v>
      </c>
      <c r="C331" s="560" t="s">
        <v>462</v>
      </c>
      <c r="D331" s="560" t="s">
        <v>293</v>
      </c>
      <c r="E331" s="560">
        <v>220</v>
      </c>
      <c r="F331" s="560">
        <v>4</v>
      </c>
      <c r="G331" s="560" t="s">
        <v>34</v>
      </c>
      <c r="H331" s="566">
        <v>2820.5128205128203</v>
      </c>
      <c r="I331" s="567" t="s">
        <v>499</v>
      </c>
      <c r="J331" s="568" t="s">
        <v>500</v>
      </c>
      <c r="L331" s="373">
        <v>1</v>
      </c>
    </row>
    <row r="332" spans="1:12" ht="21">
      <c r="A332" s="565">
        <v>327</v>
      </c>
      <c r="B332" s="560" t="s">
        <v>278</v>
      </c>
      <c r="C332" s="560" t="s">
        <v>462</v>
      </c>
      <c r="D332" s="560" t="s">
        <v>294</v>
      </c>
      <c r="E332" s="560">
        <v>183</v>
      </c>
      <c r="F332" s="560">
        <v>5</v>
      </c>
      <c r="G332" s="560" t="s">
        <v>34</v>
      </c>
      <c r="H332" s="566">
        <v>2346.1538461538462</v>
      </c>
      <c r="I332" s="567" t="s">
        <v>489</v>
      </c>
      <c r="J332" s="568" t="s">
        <v>501</v>
      </c>
      <c r="L332" s="373">
        <v>1</v>
      </c>
    </row>
    <row r="333" spans="1:12" ht="21">
      <c r="A333" s="565">
        <v>328</v>
      </c>
      <c r="B333" s="560" t="s">
        <v>278</v>
      </c>
      <c r="C333" s="560" t="s">
        <v>462</v>
      </c>
      <c r="D333" s="560" t="s">
        <v>294</v>
      </c>
      <c r="E333" s="560">
        <v>142</v>
      </c>
      <c r="F333" s="560">
        <v>4</v>
      </c>
      <c r="G333" s="560" t="s">
        <v>34</v>
      </c>
      <c r="H333" s="566">
        <v>1820.5128205128206</v>
      </c>
      <c r="I333" s="567" t="s">
        <v>489</v>
      </c>
      <c r="J333" s="568" t="s">
        <v>501</v>
      </c>
      <c r="L333" s="373">
        <v>1</v>
      </c>
    </row>
    <row r="334" spans="1:12" ht="21">
      <c r="A334" s="565">
        <v>329</v>
      </c>
      <c r="B334" s="560" t="s">
        <v>278</v>
      </c>
      <c r="C334" s="560" t="s">
        <v>462</v>
      </c>
      <c r="D334" s="560" t="s">
        <v>294</v>
      </c>
      <c r="E334" s="560">
        <v>111</v>
      </c>
      <c r="F334" s="560">
        <v>2</v>
      </c>
      <c r="G334" s="560" t="s">
        <v>34</v>
      </c>
      <c r="H334" s="566">
        <v>1423.0769230769231</v>
      </c>
      <c r="I334" s="567" t="s">
        <v>489</v>
      </c>
      <c r="J334" s="568" t="s">
        <v>288</v>
      </c>
      <c r="L334" s="373">
        <v>1</v>
      </c>
    </row>
    <row r="335" spans="1:12" ht="21">
      <c r="A335" s="565">
        <v>330</v>
      </c>
      <c r="B335" s="560" t="s">
        <v>278</v>
      </c>
      <c r="C335" s="560" t="s">
        <v>462</v>
      </c>
      <c r="D335" s="560" t="s">
        <v>294</v>
      </c>
      <c r="E335" s="560">
        <v>120</v>
      </c>
      <c r="F335" s="560">
        <v>3</v>
      </c>
      <c r="G335" s="560" t="s">
        <v>34</v>
      </c>
      <c r="H335" s="566">
        <v>1538.4615384615386</v>
      </c>
      <c r="I335" s="567" t="s">
        <v>489</v>
      </c>
      <c r="J335" s="568" t="s">
        <v>288</v>
      </c>
      <c r="L335" s="373">
        <v>1</v>
      </c>
    </row>
    <row r="336" spans="1:12" ht="21">
      <c r="A336" s="565">
        <v>331</v>
      </c>
      <c r="B336" s="560" t="s">
        <v>278</v>
      </c>
      <c r="C336" s="560" t="s">
        <v>462</v>
      </c>
      <c r="D336" s="560" t="s">
        <v>294</v>
      </c>
      <c r="E336" s="560">
        <v>130</v>
      </c>
      <c r="F336" s="560">
        <v>4</v>
      </c>
      <c r="G336" s="560" t="s">
        <v>34</v>
      </c>
      <c r="H336" s="566">
        <v>1666.6666666666667</v>
      </c>
      <c r="I336" s="567" t="s">
        <v>489</v>
      </c>
      <c r="J336" s="568" t="s">
        <v>502</v>
      </c>
      <c r="L336" s="373">
        <v>1</v>
      </c>
    </row>
    <row r="337" spans="1:12" ht="21">
      <c r="A337" s="565">
        <v>332</v>
      </c>
      <c r="B337" s="560" t="s">
        <v>278</v>
      </c>
      <c r="C337" s="560" t="s">
        <v>462</v>
      </c>
      <c r="D337" s="560" t="s">
        <v>294</v>
      </c>
      <c r="E337" s="560">
        <v>150</v>
      </c>
      <c r="F337" s="560">
        <v>5</v>
      </c>
      <c r="G337" s="560" t="s">
        <v>34</v>
      </c>
      <c r="H337" s="566">
        <v>1923.0769230769231</v>
      </c>
      <c r="I337" s="567" t="s">
        <v>489</v>
      </c>
      <c r="J337" s="568" t="s">
        <v>288</v>
      </c>
      <c r="L337" s="373">
        <v>1</v>
      </c>
    </row>
    <row r="338" spans="1:12" ht="21">
      <c r="A338" s="565">
        <v>333</v>
      </c>
      <c r="B338" s="560" t="s">
        <v>278</v>
      </c>
      <c r="C338" s="560" t="s">
        <v>462</v>
      </c>
      <c r="D338" s="560" t="s">
        <v>294</v>
      </c>
      <c r="E338" s="560">
        <v>130</v>
      </c>
      <c r="F338" s="560">
        <v>3</v>
      </c>
      <c r="G338" s="560" t="s">
        <v>34</v>
      </c>
      <c r="H338" s="566">
        <v>1666.6666666666667</v>
      </c>
      <c r="I338" s="567" t="s">
        <v>489</v>
      </c>
      <c r="J338" s="568" t="s">
        <v>288</v>
      </c>
      <c r="L338" s="373">
        <v>1</v>
      </c>
    </row>
    <row r="339" spans="1:12" ht="21">
      <c r="A339" s="565">
        <v>334</v>
      </c>
      <c r="B339" s="560" t="s">
        <v>278</v>
      </c>
      <c r="C339" s="560" t="s">
        <v>462</v>
      </c>
      <c r="D339" s="560" t="s">
        <v>294</v>
      </c>
      <c r="E339" s="560">
        <v>140</v>
      </c>
      <c r="F339" s="560">
        <v>4</v>
      </c>
      <c r="G339" s="560" t="s">
        <v>34</v>
      </c>
      <c r="H339" s="566">
        <v>1794.8717948717949</v>
      </c>
      <c r="I339" s="567" t="s">
        <v>489</v>
      </c>
      <c r="J339" s="568" t="s">
        <v>288</v>
      </c>
      <c r="L339" s="373">
        <v>1</v>
      </c>
    </row>
    <row r="340" spans="1:12" ht="21">
      <c r="A340" s="565">
        <v>335</v>
      </c>
      <c r="B340" s="560" t="s">
        <v>278</v>
      </c>
      <c r="C340" s="560" t="s">
        <v>462</v>
      </c>
      <c r="D340" s="560" t="s">
        <v>294</v>
      </c>
      <c r="E340" s="560">
        <v>110</v>
      </c>
      <c r="F340" s="560">
        <v>3</v>
      </c>
      <c r="G340" s="560" t="s">
        <v>34</v>
      </c>
      <c r="H340" s="566">
        <v>1410.2564102564102</v>
      </c>
      <c r="I340" s="567" t="s">
        <v>489</v>
      </c>
      <c r="J340" s="568" t="s">
        <v>501</v>
      </c>
      <c r="L340" s="373">
        <v>1</v>
      </c>
    </row>
    <row r="341" spans="1:12" ht="21">
      <c r="A341" s="565">
        <v>336</v>
      </c>
      <c r="B341" s="560" t="s">
        <v>277</v>
      </c>
      <c r="C341" s="560" t="s">
        <v>462</v>
      </c>
      <c r="D341" s="560" t="s">
        <v>290</v>
      </c>
      <c r="E341" s="560">
        <v>240</v>
      </c>
      <c r="F341" s="560">
        <v>8</v>
      </c>
      <c r="G341" s="560" t="s">
        <v>34</v>
      </c>
      <c r="H341" s="566">
        <v>3076.9230769230771</v>
      </c>
      <c r="I341" s="567" t="s">
        <v>288</v>
      </c>
      <c r="J341" s="568" t="s">
        <v>496</v>
      </c>
      <c r="L341" s="373">
        <v>1</v>
      </c>
    </row>
    <row r="342" spans="1:12" ht="21">
      <c r="A342" s="565">
        <v>337</v>
      </c>
      <c r="B342" s="560" t="s">
        <v>278</v>
      </c>
      <c r="C342" s="560" t="s">
        <v>462</v>
      </c>
      <c r="D342" s="560" t="s">
        <v>292</v>
      </c>
      <c r="E342" s="560">
        <v>180</v>
      </c>
      <c r="F342" s="560">
        <v>5</v>
      </c>
      <c r="G342" s="560" t="s">
        <v>34</v>
      </c>
      <c r="H342" s="566">
        <v>2307.6923076923076</v>
      </c>
      <c r="I342" s="567" t="s">
        <v>288</v>
      </c>
      <c r="J342" s="568" t="s">
        <v>496</v>
      </c>
      <c r="L342" s="373">
        <v>1</v>
      </c>
    </row>
    <row r="343" spans="1:12">
      <c r="A343" s="565">
        <v>338</v>
      </c>
      <c r="B343" s="560" t="s">
        <v>278</v>
      </c>
      <c r="C343" s="560" t="s">
        <v>462</v>
      </c>
      <c r="D343" s="560" t="s">
        <v>292</v>
      </c>
      <c r="E343" s="560">
        <v>150</v>
      </c>
      <c r="F343" s="560">
        <v>4</v>
      </c>
      <c r="G343" s="560" t="s">
        <v>34</v>
      </c>
      <c r="H343" s="566">
        <v>1923.0769230769231</v>
      </c>
      <c r="I343" s="567" t="s">
        <v>464</v>
      </c>
      <c r="J343" s="568" t="s">
        <v>288</v>
      </c>
      <c r="L343" s="373">
        <v>1</v>
      </c>
    </row>
    <row r="344" spans="1:12" ht="21">
      <c r="A344" s="565">
        <v>339</v>
      </c>
      <c r="B344" s="560" t="s">
        <v>278</v>
      </c>
      <c r="C344" s="560" t="s">
        <v>462</v>
      </c>
      <c r="D344" s="560" t="s">
        <v>292</v>
      </c>
      <c r="E344" s="560">
        <v>180</v>
      </c>
      <c r="F344" s="560">
        <v>5</v>
      </c>
      <c r="G344" s="560" t="s">
        <v>34</v>
      </c>
      <c r="H344" s="566">
        <v>2307.6923076923076</v>
      </c>
      <c r="I344" s="567" t="s">
        <v>464</v>
      </c>
      <c r="J344" s="568" t="s">
        <v>498</v>
      </c>
      <c r="L344" s="373">
        <v>1</v>
      </c>
    </row>
    <row r="345" spans="1:12" ht="21">
      <c r="A345" s="565">
        <v>340</v>
      </c>
      <c r="B345" s="560" t="s">
        <v>278</v>
      </c>
      <c r="C345" s="560" t="s">
        <v>462</v>
      </c>
      <c r="D345" s="560" t="s">
        <v>292</v>
      </c>
      <c r="E345" s="560">
        <v>140</v>
      </c>
      <c r="F345" s="560">
        <v>4</v>
      </c>
      <c r="G345" s="560" t="s">
        <v>34</v>
      </c>
      <c r="H345" s="566">
        <v>1794.8717948717949</v>
      </c>
      <c r="I345" s="567" t="s">
        <v>288</v>
      </c>
      <c r="J345" s="568" t="s">
        <v>496</v>
      </c>
      <c r="L345" s="373">
        <v>1</v>
      </c>
    </row>
    <row r="346" spans="1:12">
      <c r="A346" s="565">
        <v>341</v>
      </c>
      <c r="B346" s="560" t="s">
        <v>278</v>
      </c>
      <c r="C346" s="560" t="s">
        <v>462</v>
      </c>
      <c r="D346" s="560" t="s">
        <v>290</v>
      </c>
      <c r="E346" s="560">
        <v>90</v>
      </c>
      <c r="F346" s="560">
        <v>3</v>
      </c>
      <c r="G346" s="560" t="s">
        <v>34</v>
      </c>
      <c r="H346" s="566">
        <v>1153.8461538461538</v>
      </c>
      <c r="I346" s="567" t="s">
        <v>464</v>
      </c>
      <c r="J346" s="568" t="s">
        <v>288</v>
      </c>
      <c r="L346" s="373">
        <v>1</v>
      </c>
    </row>
    <row r="347" spans="1:12" ht="21">
      <c r="A347" s="565">
        <v>342</v>
      </c>
      <c r="B347" s="560" t="s">
        <v>278</v>
      </c>
      <c r="C347" s="560" t="s">
        <v>462</v>
      </c>
      <c r="D347" s="560" t="s">
        <v>292</v>
      </c>
      <c r="E347" s="560">
        <v>120</v>
      </c>
      <c r="F347" s="560">
        <v>3</v>
      </c>
      <c r="G347" s="560" t="s">
        <v>34</v>
      </c>
      <c r="H347" s="566">
        <v>1538.4615384615386</v>
      </c>
      <c r="I347" s="567" t="s">
        <v>464</v>
      </c>
      <c r="J347" s="568" t="s">
        <v>498</v>
      </c>
      <c r="L347" s="373">
        <v>1</v>
      </c>
    </row>
    <row r="348" spans="1:12" ht="21">
      <c r="A348" s="565">
        <v>343</v>
      </c>
      <c r="B348" s="560" t="s">
        <v>278</v>
      </c>
      <c r="C348" s="560" t="s">
        <v>462</v>
      </c>
      <c r="D348" s="560" t="s">
        <v>292</v>
      </c>
      <c r="E348" s="560">
        <v>100</v>
      </c>
      <c r="F348" s="560">
        <v>2</v>
      </c>
      <c r="G348" s="560" t="s">
        <v>34</v>
      </c>
      <c r="H348" s="566">
        <v>1282.051282051282</v>
      </c>
      <c r="I348" s="567" t="s">
        <v>288</v>
      </c>
      <c r="J348" s="568" t="s">
        <v>496</v>
      </c>
      <c r="L348" s="373">
        <v>1</v>
      </c>
    </row>
    <row r="349" spans="1:12" ht="21">
      <c r="A349" s="565">
        <v>344</v>
      </c>
      <c r="B349" s="560" t="s">
        <v>277</v>
      </c>
      <c r="C349" s="560" t="s">
        <v>462</v>
      </c>
      <c r="D349" s="560" t="s">
        <v>291</v>
      </c>
      <c r="E349" s="560">
        <v>220</v>
      </c>
      <c r="F349" s="560">
        <v>10</v>
      </c>
      <c r="G349" s="560" t="s">
        <v>34</v>
      </c>
      <c r="H349" s="566">
        <v>2820.5128205128203</v>
      </c>
      <c r="I349" s="567" t="s">
        <v>489</v>
      </c>
      <c r="J349" s="568" t="s">
        <v>288</v>
      </c>
      <c r="L349" s="373">
        <v>1</v>
      </c>
    </row>
    <row r="350" spans="1:12" ht="21">
      <c r="A350" s="565">
        <v>345</v>
      </c>
      <c r="B350" s="560" t="s">
        <v>278</v>
      </c>
      <c r="C350" s="560" t="s">
        <v>462</v>
      </c>
      <c r="D350" s="560" t="s">
        <v>293</v>
      </c>
      <c r="E350" s="560">
        <v>170</v>
      </c>
      <c r="F350" s="560">
        <v>4</v>
      </c>
      <c r="G350" s="560" t="s">
        <v>34</v>
      </c>
      <c r="H350" s="566">
        <v>2179.4871794871797</v>
      </c>
      <c r="I350" s="567" t="s">
        <v>489</v>
      </c>
      <c r="J350" s="568" t="s">
        <v>288</v>
      </c>
      <c r="L350" s="373">
        <v>1</v>
      </c>
    </row>
    <row r="351" spans="1:12" ht="21">
      <c r="A351" s="565">
        <v>346</v>
      </c>
      <c r="B351" s="560" t="s">
        <v>485</v>
      </c>
      <c r="C351" s="560" t="s">
        <v>462</v>
      </c>
      <c r="D351" s="560" t="s">
        <v>292</v>
      </c>
      <c r="E351" s="560">
        <v>250</v>
      </c>
      <c r="F351" s="560" t="s">
        <v>508</v>
      </c>
      <c r="G351" s="560" t="str">
        <f>G222</f>
        <v>inst.c.o.</v>
      </c>
      <c r="H351" s="566">
        <v>95.456281023291325</v>
      </c>
      <c r="I351" s="567" t="s">
        <v>464</v>
      </c>
      <c r="J351" s="568" t="s">
        <v>498</v>
      </c>
      <c r="L351" s="373">
        <v>1</v>
      </c>
    </row>
    <row r="352" spans="1:12" ht="21">
      <c r="A352" s="565">
        <v>347</v>
      </c>
      <c r="B352" s="560" t="s">
        <v>485</v>
      </c>
      <c r="C352" s="560" t="s">
        <v>462</v>
      </c>
      <c r="D352" s="560" t="s">
        <v>292</v>
      </c>
      <c r="E352" s="560">
        <v>260</v>
      </c>
      <c r="F352" s="560" t="s">
        <v>508</v>
      </c>
      <c r="G352" s="560" t="str">
        <f t="shared" ref="G352:G357" si="6">G351</f>
        <v>inst.c.o.</v>
      </c>
      <c r="H352" s="566">
        <v>99.274532264222984</v>
      </c>
      <c r="I352" s="567" t="s">
        <v>288</v>
      </c>
      <c r="J352" s="568" t="s">
        <v>496</v>
      </c>
      <c r="L352" s="373">
        <v>1</v>
      </c>
    </row>
    <row r="353" spans="1:12" ht="21">
      <c r="A353" s="565">
        <v>348</v>
      </c>
      <c r="B353" s="560" t="s">
        <v>485</v>
      </c>
      <c r="C353" s="560" t="s">
        <v>462</v>
      </c>
      <c r="D353" s="560" t="s">
        <v>292</v>
      </c>
      <c r="E353" s="560">
        <v>10000</v>
      </c>
      <c r="F353" s="560" t="s">
        <v>508</v>
      </c>
      <c r="G353" s="560" t="str">
        <f t="shared" si="6"/>
        <v>inst.c.o.</v>
      </c>
      <c r="H353" s="566">
        <v>3818.2512409316528</v>
      </c>
      <c r="I353" s="567" t="s">
        <v>489</v>
      </c>
      <c r="J353" s="568" t="s">
        <v>288</v>
      </c>
      <c r="L353" s="373">
        <v>1</v>
      </c>
    </row>
    <row r="354" spans="1:12" ht="21">
      <c r="A354" s="565">
        <v>349</v>
      </c>
      <c r="B354" s="560" t="s">
        <v>485</v>
      </c>
      <c r="C354" s="560" t="s">
        <v>462</v>
      </c>
      <c r="D354" s="560" t="s">
        <v>292</v>
      </c>
      <c r="E354" s="560">
        <v>420</v>
      </c>
      <c r="F354" s="560" t="s">
        <v>508</v>
      </c>
      <c r="G354" s="560" t="str">
        <f t="shared" si="6"/>
        <v>inst.c.o.</v>
      </c>
      <c r="H354" s="566">
        <v>160.36655211912944</v>
      </c>
      <c r="I354" s="567" t="s">
        <v>288</v>
      </c>
      <c r="J354" s="568" t="s">
        <v>496</v>
      </c>
      <c r="L354" s="373">
        <v>1</v>
      </c>
    </row>
    <row r="355" spans="1:12" ht="21">
      <c r="A355" s="565">
        <v>350</v>
      </c>
      <c r="B355" s="560" t="s">
        <v>485</v>
      </c>
      <c r="C355" s="560" t="s">
        <v>462</v>
      </c>
      <c r="D355" s="560" t="s">
        <v>290</v>
      </c>
      <c r="E355" s="560">
        <v>200</v>
      </c>
      <c r="F355" s="560" t="s">
        <v>508</v>
      </c>
      <c r="G355" s="560" t="str">
        <f t="shared" si="6"/>
        <v>inst.c.o.</v>
      </c>
      <c r="H355" s="566">
        <v>76.36502481863306</v>
      </c>
      <c r="I355" s="567" t="s">
        <v>481</v>
      </c>
      <c r="J355" s="568" t="s">
        <v>288</v>
      </c>
      <c r="L355" s="373">
        <v>1</v>
      </c>
    </row>
    <row r="356" spans="1:12" ht="21">
      <c r="A356" s="565">
        <v>351</v>
      </c>
      <c r="B356" s="560" t="s">
        <v>485</v>
      </c>
      <c r="C356" s="560" t="s">
        <v>462</v>
      </c>
      <c r="D356" s="560" t="s">
        <v>292</v>
      </c>
      <c r="E356" s="560">
        <v>200</v>
      </c>
      <c r="F356" s="560" t="s">
        <v>508</v>
      </c>
      <c r="G356" s="560" t="str">
        <f t="shared" si="6"/>
        <v>inst.c.o.</v>
      </c>
      <c r="H356" s="566">
        <v>76.36502481863306</v>
      </c>
      <c r="I356" s="567" t="s">
        <v>472</v>
      </c>
      <c r="J356" s="568" t="s">
        <v>288</v>
      </c>
      <c r="L356" s="373">
        <v>1</v>
      </c>
    </row>
    <row r="357" spans="1:12" ht="21">
      <c r="A357" s="565">
        <v>352</v>
      </c>
      <c r="B357" s="560" t="s">
        <v>485</v>
      </c>
      <c r="C357" s="560" t="s">
        <v>462</v>
      </c>
      <c r="D357" s="560" t="s">
        <v>292</v>
      </c>
      <c r="E357" s="560">
        <v>650</v>
      </c>
      <c r="F357" s="560" t="s">
        <v>508</v>
      </c>
      <c r="G357" s="560" t="str">
        <f t="shared" si="6"/>
        <v>inst.c.o.</v>
      </c>
      <c r="H357" s="566">
        <v>248.18633066055745</v>
      </c>
      <c r="I357" s="567" t="s">
        <v>464</v>
      </c>
      <c r="J357" s="568" t="s">
        <v>498</v>
      </c>
      <c r="L357" s="373">
        <v>1</v>
      </c>
    </row>
    <row r="358" spans="1:12">
      <c r="A358" s="565">
        <v>353</v>
      </c>
      <c r="B358" s="560" t="s">
        <v>485</v>
      </c>
      <c r="C358" s="560" t="s">
        <v>462</v>
      </c>
      <c r="D358" s="560" t="s">
        <v>291</v>
      </c>
      <c r="E358" s="560">
        <v>800</v>
      </c>
      <c r="F358" s="560" t="s">
        <v>508</v>
      </c>
      <c r="G358" s="560" t="str">
        <f t="shared" ref="G358:G362" si="7">G357</f>
        <v>inst.c.o.</v>
      </c>
      <c r="H358" s="566">
        <v>305.46009927453224</v>
      </c>
      <c r="I358" s="567" t="s">
        <v>464</v>
      </c>
      <c r="J358" s="568" t="s">
        <v>288</v>
      </c>
      <c r="L358" s="373">
        <v>1</v>
      </c>
    </row>
    <row r="359" spans="1:12">
      <c r="A359" s="565">
        <v>354</v>
      </c>
      <c r="B359" s="560" t="s">
        <v>485</v>
      </c>
      <c r="C359" s="560" t="s">
        <v>462</v>
      </c>
      <c r="D359" s="560" t="s">
        <v>293</v>
      </c>
      <c r="E359" s="560">
        <v>800</v>
      </c>
      <c r="F359" s="560" t="s">
        <v>508</v>
      </c>
      <c r="G359" s="560" t="str">
        <f t="shared" si="7"/>
        <v>inst.c.o.</v>
      </c>
      <c r="H359" s="566">
        <v>305.46009927453224</v>
      </c>
      <c r="I359" s="567" t="s">
        <v>464</v>
      </c>
      <c r="J359" s="568" t="s">
        <v>288</v>
      </c>
      <c r="L359" s="373">
        <v>1</v>
      </c>
    </row>
    <row r="360" spans="1:12">
      <c r="A360" s="565">
        <v>355</v>
      </c>
      <c r="B360" s="560" t="s">
        <v>485</v>
      </c>
      <c r="C360" s="560" t="s">
        <v>462</v>
      </c>
      <c r="D360" s="560" t="s">
        <v>290</v>
      </c>
      <c r="E360" s="560">
        <v>5000</v>
      </c>
      <c r="F360" s="560" t="s">
        <v>508</v>
      </c>
      <c r="G360" s="560" t="str">
        <f t="shared" si="7"/>
        <v>inst.c.o.</v>
      </c>
      <c r="H360" s="566">
        <v>1909.1256204658264</v>
      </c>
      <c r="I360" s="567" t="s">
        <v>464</v>
      </c>
      <c r="J360" s="568" t="s">
        <v>288</v>
      </c>
      <c r="L360" s="373">
        <v>1</v>
      </c>
    </row>
    <row r="361" spans="1:12">
      <c r="A361" s="565">
        <v>356</v>
      </c>
      <c r="B361" s="560" t="s">
        <v>485</v>
      </c>
      <c r="C361" s="560" t="s">
        <v>462</v>
      </c>
      <c r="D361" s="560" t="s">
        <v>292</v>
      </c>
      <c r="E361" s="560">
        <v>2200</v>
      </c>
      <c r="F361" s="560" t="s">
        <v>508</v>
      </c>
      <c r="G361" s="560" t="str">
        <f t="shared" si="7"/>
        <v>inst.c.o.</v>
      </c>
      <c r="H361" s="566">
        <v>840.01527300496366</v>
      </c>
      <c r="I361" s="567" t="s">
        <v>464</v>
      </c>
      <c r="J361" s="568" t="s">
        <v>288</v>
      </c>
      <c r="L361" s="373">
        <v>1</v>
      </c>
    </row>
    <row r="362" spans="1:12" ht="21">
      <c r="A362" s="565">
        <v>357</v>
      </c>
      <c r="B362" s="560" t="s">
        <v>485</v>
      </c>
      <c r="C362" s="560" t="s">
        <v>462</v>
      </c>
      <c r="D362" s="560" t="s">
        <v>292</v>
      </c>
      <c r="E362" s="560">
        <v>65</v>
      </c>
      <c r="F362" s="560" t="s">
        <v>508</v>
      </c>
      <c r="G362" s="560" t="str">
        <f t="shared" si="7"/>
        <v>inst.c.o.</v>
      </c>
      <c r="H362" s="566">
        <v>24.818633066055746</v>
      </c>
      <c r="I362" s="567" t="s">
        <v>288</v>
      </c>
      <c r="J362" s="568" t="s">
        <v>496</v>
      </c>
      <c r="L362" s="373">
        <v>1</v>
      </c>
    </row>
    <row r="363" spans="1:12" ht="21">
      <c r="A363" s="565">
        <v>358</v>
      </c>
      <c r="B363" s="560" t="s">
        <v>485</v>
      </c>
      <c r="C363" s="560" t="s">
        <v>462</v>
      </c>
      <c r="D363" s="560" t="s">
        <v>291</v>
      </c>
      <c r="E363" s="560">
        <v>35</v>
      </c>
      <c r="F363" s="560" t="s">
        <v>508</v>
      </c>
      <c r="G363" s="560" t="s">
        <v>34</v>
      </c>
      <c r="H363" s="566">
        <v>448.71794871794873</v>
      </c>
      <c r="I363" s="567" t="s">
        <v>489</v>
      </c>
      <c r="J363" s="568" t="s">
        <v>288</v>
      </c>
      <c r="L363" s="373">
        <v>1</v>
      </c>
    </row>
    <row r="364" spans="1:12">
      <c r="A364" s="565">
        <v>359</v>
      </c>
      <c r="B364" s="560" t="s">
        <v>485</v>
      </c>
      <c r="C364" s="560" t="s">
        <v>462</v>
      </c>
      <c r="D364" s="560" t="s">
        <v>293</v>
      </c>
      <c r="E364" s="560">
        <v>700</v>
      </c>
      <c r="F364" s="560" t="s">
        <v>508</v>
      </c>
      <c r="G364" s="560" t="str">
        <f>G362</f>
        <v>inst.c.o.</v>
      </c>
      <c r="H364" s="566">
        <v>267.27758686521571</v>
      </c>
      <c r="I364" s="567" t="s">
        <v>288</v>
      </c>
      <c r="J364" s="568" t="s">
        <v>288</v>
      </c>
      <c r="L364" s="373">
        <v>1</v>
      </c>
    </row>
    <row r="365" spans="1:12">
      <c r="A365" s="565">
        <v>360</v>
      </c>
      <c r="B365" s="560" t="s">
        <v>278</v>
      </c>
      <c r="C365" s="560" t="s">
        <v>462</v>
      </c>
      <c r="D365" s="560" t="s">
        <v>291</v>
      </c>
      <c r="E365" s="560">
        <v>150</v>
      </c>
      <c r="F365" s="560">
        <v>6</v>
      </c>
      <c r="G365" s="560" t="str">
        <f>G364</f>
        <v>inst.c.o.</v>
      </c>
      <c r="H365" s="566">
        <v>57.273768613974795</v>
      </c>
      <c r="I365" s="567" t="s">
        <v>495</v>
      </c>
      <c r="J365" s="568" t="s">
        <v>288</v>
      </c>
      <c r="L365" s="373">
        <v>1</v>
      </c>
    </row>
    <row r="366" spans="1:12" ht="21">
      <c r="A366" s="565">
        <v>361</v>
      </c>
      <c r="B366" s="560" t="s">
        <v>278</v>
      </c>
      <c r="C366" s="560" t="s">
        <v>462</v>
      </c>
      <c r="D366" s="560" t="s">
        <v>503</v>
      </c>
      <c r="E366" s="560">
        <v>150</v>
      </c>
      <c r="F366" s="560">
        <v>4</v>
      </c>
      <c r="G366" s="560" t="s">
        <v>34</v>
      </c>
      <c r="H366" s="566">
        <v>1923.0769230769231</v>
      </c>
      <c r="I366" s="567" t="s">
        <v>288</v>
      </c>
      <c r="J366" s="568" t="s">
        <v>496</v>
      </c>
      <c r="L366" s="373">
        <v>1</v>
      </c>
    </row>
    <row r="367" spans="1:12" ht="21">
      <c r="A367" s="565">
        <v>362</v>
      </c>
      <c r="B367" s="560" t="s">
        <v>278</v>
      </c>
      <c r="C367" s="560" t="s">
        <v>462</v>
      </c>
      <c r="D367" s="560" t="s">
        <v>294</v>
      </c>
      <c r="E367" s="560">
        <v>188</v>
      </c>
      <c r="F367" s="560">
        <v>6</v>
      </c>
      <c r="G367" s="560" t="s">
        <v>34</v>
      </c>
      <c r="H367" s="566">
        <v>2410.2564102564102</v>
      </c>
      <c r="I367" s="567" t="s">
        <v>489</v>
      </c>
      <c r="J367" s="568" t="s">
        <v>288</v>
      </c>
      <c r="L367" s="373">
        <v>1</v>
      </c>
    </row>
    <row r="368" spans="1:12" ht="21">
      <c r="A368" s="565">
        <v>363</v>
      </c>
      <c r="B368" s="560" t="s">
        <v>278</v>
      </c>
      <c r="C368" s="560" t="s">
        <v>462</v>
      </c>
      <c r="D368" s="560" t="s">
        <v>294</v>
      </c>
      <c r="E368" s="560">
        <v>151</v>
      </c>
      <c r="F368" s="560">
        <v>3</v>
      </c>
      <c r="G368" s="560" t="s">
        <v>34</v>
      </c>
      <c r="H368" s="566">
        <v>1935.8974358974358</v>
      </c>
      <c r="I368" s="567" t="s">
        <v>489</v>
      </c>
      <c r="J368" s="568" t="s">
        <v>288</v>
      </c>
      <c r="L368" s="373">
        <v>1</v>
      </c>
    </row>
    <row r="369" spans="1:12">
      <c r="A369" s="565">
        <v>364</v>
      </c>
      <c r="B369" s="560" t="s">
        <v>278</v>
      </c>
      <c r="C369" s="560" t="s">
        <v>462</v>
      </c>
      <c r="D369" s="560" t="s">
        <v>291</v>
      </c>
      <c r="E369" s="560">
        <v>150</v>
      </c>
      <c r="F369" s="560">
        <v>4</v>
      </c>
      <c r="G369" s="560" t="s">
        <v>34</v>
      </c>
      <c r="H369" s="566">
        <v>1923.0769230769231</v>
      </c>
      <c r="I369" s="567" t="s">
        <v>464</v>
      </c>
      <c r="J369" s="568" t="s">
        <v>288</v>
      </c>
      <c r="L369" s="373">
        <v>1</v>
      </c>
    </row>
    <row r="370" spans="1:12">
      <c r="A370" s="565">
        <v>365</v>
      </c>
      <c r="B370" s="560" t="s">
        <v>278</v>
      </c>
      <c r="C370" s="560" t="s">
        <v>462</v>
      </c>
      <c r="D370" s="560" t="s">
        <v>292</v>
      </c>
      <c r="E370" s="560">
        <v>170</v>
      </c>
      <c r="F370" s="560">
        <v>6</v>
      </c>
      <c r="G370" s="560" t="s">
        <v>34</v>
      </c>
      <c r="H370" s="566">
        <v>2179.4871794871797</v>
      </c>
      <c r="I370" s="567" t="s">
        <v>464</v>
      </c>
      <c r="J370" s="568" t="s">
        <v>288</v>
      </c>
      <c r="L370" s="373">
        <v>1</v>
      </c>
    </row>
    <row r="371" spans="1:12" ht="21">
      <c r="A371" s="565">
        <v>366</v>
      </c>
      <c r="B371" s="560" t="s">
        <v>278</v>
      </c>
      <c r="C371" s="560" t="s">
        <v>462</v>
      </c>
      <c r="D371" s="560" t="s">
        <v>291</v>
      </c>
      <c r="E371" s="560">
        <v>153</v>
      </c>
      <c r="F371" s="560">
        <v>3</v>
      </c>
      <c r="G371" s="560" t="s">
        <v>34</v>
      </c>
      <c r="H371" s="566">
        <v>1961.5384615384614</v>
      </c>
      <c r="I371" s="567" t="s">
        <v>464</v>
      </c>
      <c r="J371" s="568" t="s">
        <v>498</v>
      </c>
      <c r="L371" s="373">
        <v>1</v>
      </c>
    </row>
    <row r="372" spans="1:12">
      <c r="A372" s="565">
        <v>367</v>
      </c>
      <c r="B372" s="560" t="s">
        <v>278</v>
      </c>
      <c r="C372" s="560" t="s">
        <v>462</v>
      </c>
      <c r="D372" s="560" t="s">
        <v>291</v>
      </c>
      <c r="E372" s="560">
        <v>141</v>
      </c>
      <c r="F372" s="560">
        <v>4</v>
      </c>
      <c r="G372" s="560" t="s">
        <v>34</v>
      </c>
      <c r="H372" s="566">
        <v>1807.6923076923076</v>
      </c>
      <c r="I372" s="567" t="s">
        <v>499</v>
      </c>
      <c r="J372" s="568" t="s">
        <v>288</v>
      </c>
      <c r="L372" s="373">
        <v>1</v>
      </c>
    </row>
    <row r="373" spans="1:12">
      <c r="A373" s="565">
        <v>368</v>
      </c>
      <c r="B373" s="560" t="s">
        <v>278</v>
      </c>
      <c r="C373" s="560" t="s">
        <v>462</v>
      </c>
      <c r="D373" s="560" t="s">
        <v>291</v>
      </c>
      <c r="E373" s="560">
        <v>159</v>
      </c>
      <c r="F373" s="560">
        <v>5</v>
      </c>
      <c r="G373" s="560" t="s">
        <v>34</v>
      </c>
      <c r="H373" s="566">
        <v>2038.4615384615386</v>
      </c>
      <c r="I373" s="567" t="s">
        <v>464</v>
      </c>
      <c r="J373" s="568" t="s">
        <v>288</v>
      </c>
      <c r="L373" s="373">
        <v>1</v>
      </c>
    </row>
    <row r="374" spans="1:12">
      <c r="A374" s="565">
        <v>369</v>
      </c>
      <c r="B374" s="560" t="s">
        <v>278</v>
      </c>
      <c r="C374" s="560" t="s">
        <v>462</v>
      </c>
      <c r="D374" s="560" t="s">
        <v>291</v>
      </c>
      <c r="E374" s="560">
        <v>161</v>
      </c>
      <c r="F374" s="560">
        <v>6</v>
      </c>
      <c r="G374" s="560" t="s">
        <v>34</v>
      </c>
      <c r="H374" s="566">
        <v>2064.102564102564</v>
      </c>
      <c r="I374" s="567" t="s">
        <v>464</v>
      </c>
      <c r="J374" s="568" t="s">
        <v>495</v>
      </c>
      <c r="L374" s="373">
        <v>1</v>
      </c>
    </row>
    <row r="375" spans="1:12">
      <c r="A375" s="565">
        <v>370</v>
      </c>
      <c r="B375" s="560" t="s">
        <v>278</v>
      </c>
      <c r="C375" s="560" t="s">
        <v>462</v>
      </c>
      <c r="D375" s="560" t="s">
        <v>291</v>
      </c>
      <c r="E375" s="560">
        <v>160</v>
      </c>
      <c r="F375" s="560">
        <v>4</v>
      </c>
      <c r="G375" s="560" t="s">
        <v>34</v>
      </c>
      <c r="H375" s="566">
        <v>2051.2820512820513</v>
      </c>
      <c r="I375" s="567" t="s">
        <v>464</v>
      </c>
      <c r="J375" s="568" t="s">
        <v>288</v>
      </c>
      <c r="L375" s="373">
        <v>1</v>
      </c>
    </row>
    <row r="376" spans="1:12" ht="21">
      <c r="A376" s="565">
        <v>371</v>
      </c>
      <c r="B376" s="560" t="s">
        <v>278</v>
      </c>
      <c r="C376" s="560" t="s">
        <v>462</v>
      </c>
      <c r="D376" s="560" t="s">
        <v>294</v>
      </c>
      <c r="E376" s="560">
        <v>160</v>
      </c>
      <c r="F376" s="560">
        <v>5</v>
      </c>
      <c r="G376" s="560" t="s">
        <v>34</v>
      </c>
      <c r="H376" s="566">
        <v>2051.2820512820513</v>
      </c>
      <c r="I376" s="567" t="s">
        <v>489</v>
      </c>
      <c r="J376" s="568" t="s">
        <v>288</v>
      </c>
      <c r="L376" s="373">
        <v>1</v>
      </c>
    </row>
    <row r="377" spans="1:12" ht="21">
      <c r="A377" s="565">
        <v>372</v>
      </c>
      <c r="B377" s="560" t="s">
        <v>278</v>
      </c>
      <c r="C377" s="560" t="s">
        <v>462</v>
      </c>
      <c r="D377" s="560" t="s">
        <v>293</v>
      </c>
      <c r="E377" s="560">
        <v>150</v>
      </c>
      <c r="F377" s="560">
        <v>3</v>
      </c>
      <c r="G377" s="560" t="s">
        <v>34</v>
      </c>
      <c r="H377" s="566">
        <v>1923.0769230769231</v>
      </c>
      <c r="I377" s="567" t="s">
        <v>489</v>
      </c>
      <c r="J377" s="568" t="s">
        <v>288</v>
      </c>
      <c r="L377" s="373">
        <v>1</v>
      </c>
    </row>
    <row r="378" spans="1:12">
      <c r="A378" s="565">
        <v>373</v>
      </c>
      <c r="B378" s="560" t="s">
        <v>278</v>
      </c>
      <c r="C378" s="560" t="s">
        <v>462</v>
      </c>
      <c r="D378" s="560" t="s">
        <v>291</v>
      </c>
      <c r="E378" s="560">
        <v>150</v>
      </c>
      <c r="F378" s="560">
        <v>4</v>
      </c>
      <c r="G378" s="560" t="s">
        <v>34</v>
      </c>
      <c r="H378" s="566">
        <v>1923.0769230769231</v>
      </c>
      <c r="I378" s="567" t="s">
        <v>499</v>
      </c>
      <c r="J378" s="568" t="s">
        <v>288</v>
      </c>
      <c r="L378" s="373">
        <v>1</v>
      </c>
    </row>
    <row r="379" spans="1:12" ht="21">
      <c r="A379" s="565">
        <v>374</v>
      </c>
      <c r="B379" s="560" t="s">
        <v>278</v>
      </c>
      <c r="C379" s="560" t="s">
        <v>462</v>
      </c>
      <c r="D379" s="560" t="s">
        <v>294</v>
      </c>
      <c r="E379" s="560">
        <v>170</v>
      </c>
      <c r="F379" s="560">
        <v>5</v>
      </c>
      <c r="G379" s="560" t="s">
        <v>287</v>
      </c>
      <c r="H379" s="566">
        <v>34000</v>
      </c>
      <c r="I379" s="567" t="s">
        <v>489</v>
      </c>
      <c r="J379" s="568" t="s">
        <v>288</v>
      </c>
      <c r="L379" s="373">
        <v>1</v>
      </c>
    </row>
    <row r="380" spans="1:12" ht="21">
      <c r="A380" s="565">
        <v>375</v>
      </c>
      <c r="B380" s="560" t="s">
        <v>278</v>
      </c>
      <c r="C380" s="560" t="s">
        <v>462</v>
      </c>
      <c r="D380" s="560" t="s">
        <v>293</v>
      </c>
      <c r="E380" s="560">
        <v>160</v>
      </c>
      <c r="F380" s="560">
        <v>5</v>
      </c>
      <c r="G380" s="560" t="s">
        <v>34</v>
      </c>
      <c r="H380" s="566">
        <v>2051.2820512820513</v>
      </c>
      <c r="I380" s="567" t="s">
        <v>489</v>
      </c>
      <c r="J380" s="568" t="s">
        <v>288</v>
      </c>
      <c r="L380" s="373">
        <v>1</v>
      </c>
    </row>
    <row r="381" spans="1:12">
      <c r="A381" s="565">
        <v>376</v>
      </c>
      <c r="B381" s="560" t="s">
        <v>278</v>
      </c>
      <c r="C381" s="560" t="s">
        <v>462</v>
      </c>
      <c r="D381" s="560" t="s">
        <v>291</v>
      </c>
      <c r="E381" s="560">
        <v>120</v>
      </c>
      <c r="F381" s="560">
        <v>3</v>
      </c>
      <c r="G381" s="560" t="s">
        <v>34</v>
      </c>
      <c r="H381" s="566">
        <v>1538.4615384615386</v>
      </c>
      <c r="I381" s="567" t="s">
        <v>499</v>
      </c>
      <c r="J381" s="568" t="s">
        <v>288</v>
      </c>
      <c r="L381" s="373">
        <v>1</v>
      </c>
    </row>
    <row r="382" spans="1:12">
      <c r="A382" s="565">
        <v>377</v>
      </c>
      <c r="B382" s="560" t="s">
        <v>278</v>
      </c>
      <c r="C382" s="560" t="s">
        <v>462</v>
      </c>
      <c r="D382" s="560" t="s">
        <v>292</v>
      </c>
      <c r="E382" s="560">
        <v>140</v>
      </c>
      <c r="F382" s="560">
        <v>4</v>
      </c>
      <c r="G382" s="560" t="s">
        <v>34</v>
      </c>
      <c r="H382" s="566">
        <v>1794.8717948717949</v>
      </c>
      <c r="I382" s="567" t="s">
        <v>464</v>
      </c>
      <c r="J382" s="568" t="s">
        <v>288</v>
      </c>
      <c r="L382" s="373">
        <v>1</v>
      </c>
    </row>
    <row r="383" spans="1:12" ht="21">
      <c r="A383" s="565">
        <v>378</v>
      </c>
      <c r="B383" s="560" t="s">
        <v>278</v>
      </c>
      <c r="C383" s="560" t="s">
        <v>462</v>
      </c>
      <c r="D383" s="560" t="s">
        <v>291</v>
      </c>
      <c r="E383" s="560">
        <v>150</v>
      </c>
      <c r="F383" s="560">
        <v>5</v>
      </c>
      <c r="G383" s="560" t="s">
        <v>34</v>
      </c>
      <c r="H383" s="566">
        <v>1923.0769230769231</v>
      </c>
      <c r="I383" s="567" t="s">
        <v>464</v>
      </c>
      <c r="J383" s="568" t="s">
        <v>498</v>
      </c>
      <c r="L383" s="373">
        <v>1</v>
      </c>
    </row>
    <row r="384" spans="1:12">
      <c r="A384" s="565">
        <v>379</v>
      </c>
      <c r="B384" s="560" t="s">
        <v>278</v>
      </c>
      <c r="C384" s="560" t="s">
        <v>462</v>
      </c>
      <c r="D384" s="560" t="s">
        <v>293</v>
      </c>
      <c r="E384" s="560">
        <v>150</v>
      </c>
      <c r="F384" s="560">
        <v>4</v>
      </c>
      <c r="G384" s="560" t="s">
        <v>34</v>
      </c>
      <c r="H384" s="566">
        <v>1923.0769230769231</v>
      </c>
      <c r="I384" s="567" t="s">
        <v>464</v>
      </c>
      <c r="J384" s="568" t="s">
        <v>288</v>
      </c>
      <c r="L384" s="373">
        <v>1</v>
      </c>
    </row>
    <row r="385" spans="1:12">
      <c r="A385" s="565">
        <v>380</v>
      </c>
      <c r="B385" s="560" t="s">
        <v>278</v>
      </c>
      <c r="C385" s="560" t="s">
        <v>462</v>
      </c>
      <c r="D385" s="560" t="s">
        <v>291</v>
      </c>
      <c r="E385" s="560">
        <v>120</v>
      </c>
      <c r="F385" s="560">
        <v>3</v>
      </c>
      <c r="G385" s="560" t="s">
        <v>34</v>
      </c>
      <c r="H385" s="566">
        <v>1538.4615384615386</v>
      </c>
      <c r="I385" s="567" t="s">
        <v>464</v>
      </c>
      <c r="J385" s="568" t="s">
        <v>288</v>
      </c>
      <c r="L385" s="373">
        <v>1</v>
      </c>
    </row>
    <row r="386" spans="1:12">
      <c r="A386" s="565">
        <v>381</v>
      </c>
      <c r="B386" s="560" t="s">
        <v>278</v>
      </c>
      <c r="C386" s="560" t="s">
        <v>462</v>
      </c>
      <c r="D386" s="560" t="s">
        <v>291</v>
      </c>
      <c r="E386" s="560">
        <v>140</v>
      </c>
      <c r="F386" s="560">
        <v>3</v>
      </c>
      <c r="G386" s="560" t="s">
        <v>34</v>
      </c>
      <c r="H386" s="566">
        <v>1794.8717948717949</v>
      </c>
      <c r="I386" s="567" t="s">
        <v>464</v>
      </c>
      <c r="J386" s="568" t="s">
        <v>288</v>
      </c>
      <c r="L386" s="373">
        <v>1</v>
      </c>
    </row>
    <row r="387" spans="1:12">
      <c r="A387" s="565">
        <v>382</v>
      </c>
      <c r="B387" s="560" t="s">
        <v>278</v>
      </c>
      <c r="C387" s="560" t="s">
        <v>462</v>
      </c>
      <c r="D387" s="560" t="s">
        <v>291</v>
      </c>
      <c r="E387" s="560">
        <v>140</v>
      </c>
      <c r="F387" s="560">
        <v>4</v>
      </c>
      <c r="G387" s="560" t="s">
        <v>34</v>
      </c>
      <c r="H387" s="566">
        <v>1794.8717948717949</v>
      </c>
      <c r="I387" s="567" t="s">
        <v>499</v>
      </c>
      <c r="J387" s="568" t="s">
        <v>288</v>
      </c>
      <c r="L387" s="373">
        <v>1</v>
      </c>
    </row>
    <row r="388" spans="1:12">
      <c r="A388" s="565">
        <v>383</v>
      </c>
      <c r="B388" s="560" t="s">
        <v>278</v>
      </c>
      <c r="C388" s="560" t="s">
        <v>462</v>
      </c>
      <c r="D388" s="560" t="s">
        <v>291</v>
      </c>
      <c r="E388" s="560">
        <v>160</v>
      </c>
      <c r="F388" s="560">
        <v>6</v>
      </c>
      <c r="G388" s="560" t="s">
        <v>34</v>
      </c>
      <c r="H388" s="566">
        <v>2051.2820512820513</v>
      </c>
      <c r="I388" s="567" t="s">
        <v>499</v>
      </c>
      <c r="J388" s="568" t="s">
        <v>288</v>
      </c>
      <c r="L388" s="373">
        <v>1</v>
      </c>
    </row>
    <row r="389" spans="1:12">
      <c r="A389" s="565">
        <v>384</v>
      </c>
      <c r="B389" s="560" t="s">
        <v>278</v>
      </c>
      <c r="C389" s="560" t="s">
        <v>462</v>
      </c>
      <c r="D389" s="560" t="s">
        <v>291</v>
      </c>
      <c r="E389" s="560">
        <v>130</v>
      </c>
      <c r="F389" s="560">
        <v>4</v>
      </c>
      <c r="G389" s="560" t="s">
        <v>34</v>
      </c>
      <c r="H389" s="566">
        <v>1666.6666666666667</v>
      </c>
      <c r="I389" s="567" t="s">
        <v>499</v>
      </c>
      <c r="J389" s="568" t="s">
        <v>288</v>
      </c>
      <c r="L389" s="373">
        <v>1</v>
      </c>
    </row>
    <row r="390" spans="1:12">
      <c r="A390" s="565">
        <v>385</v>
      </c>
      <c r="B390" s="560" t="s">
        <v>278</v>
      </c>
      <c r="C390" s="560" t="s">
        <v>462</v>
      </c>
      <c r="D390" s="560" t="s">
        <v>291</v>
      </c>
      <c r="E390" s="560">
        <v>120</v>
      </c>
      <c r="F390" s="560">
        <v>4</v>
      </c>
      <c r="G390" s="560" t="s">
        <v>34</v>
      </c>
      <c r="H390" s="566">
        <v>1538.4615384615386</v>
      </c>
      <c r="I390" s="567" t="s">
        <v>464</v>
      </c>
      <c r="J390" s="568" t="s">
        <v>288</v>
      </c>
      <c r="L390" s="373">
        <v>1</v>
      </c>
    </row>
    <row r="391" spans="1:12">
      <c r="A391" s="565">
        <v>386</v>
      </c>
      <c r="B391" s="560" t="s">
        <v>278</v>
      </c>
      <c r="C391" s="560" t="s">
        <v>462</v>
      </c>
      <c r="D391" s="560" t="s">
        <v>291</v>
      </c>
      <c r="E391" s="560">
        <v>145</v>
      </c>
      <c r="F391" s="560">
        <v>3</v>
      </c>
      <c r="G391" s="560" t="s">
        <v>286</v>
      </c>
      <c r="H391" s="566">
        <v>4.0673211781206176</v>
      </c>
      <c r="I391" s="567" t="s">
        <v>499</v>
      </c>
      <c r="J391" s="568" t="s">
        <v>288</v>
      </c>
      <c r="L391" s="373">
        <v>1</v>
      </c>
    </row>
    <row r="392" spans="1:12" ht="21">
      <c r="A392" s="565">
        <v>387</v>
      </c>
      <c r="B392" s="560" t="s">
        <v>278</v>
      </c>
      <c r="C392" s="560" t="s">
        <v>462</v>
      </c>
      <c r="D392" s="560" t="s">
        <v>294</v>
      </c>
      <c r="E392" s="560">
        <v>160</v>
      </c>
      <c r="F392" s="560">
        <v>4</v>
      </c>
      <c r="G392" s="560" t="s">
        <v>34</v>
      </c>
      <c r="H392" s="566">
        <v>2051.2820512820513</v>
      </c>
      <c r="I392" s="567" t="s">
        <v>489</v>
      </c>
      <c r="J392" s="568" t="s">
        <v>288</v>
      </c>
      <c r="L392" s="373">
        <v>1</v>
      </c>
    </row>
    <row r="393" spans="1:12">
      <c r="A393" s="565">
        <v>388</v>
      </c>
      <c r="B393" s="560" t="s">
        <v>278</v>
      </c>
      <c r="C393" s="560" t="s">
        <v>462</v>
      </c>
      <c r="D393" s="560" t="s">
        <v>291</v>
      </c>
      <c r="E393" s="560">
        <v>135</v>
      </c>
      <c r="F393" s="560">
        <v>3</v>
      </c>
      <c r="G393" s="560" t="s">
        <v>34</v>
      </c>
      <c r="H393" s="566">
        <v>1730.7692307692307</v>
      </c>
      <c r="I393" s="567" t="s">
        <v>499</v>
      </c>
      <c r="J393" s="568" t="s">
        <v>288</v>
      </c>
      <c r="L393" s="373">
        <v>1</v>
      </c>
    </row>
    <row r="394" spans="1:12">
      <c r="A394" s="565">
        <v>389</v>
      </c>
      <c r="B394" s="560" t="s">
        <v>278</v>
      </c>
      <c r="C394" s="560" t="s">
        <v>462</v>
      </c>
      <c r="D394" s="560" t="s">
        <v>292</v>
      </c>
      <c r="E394" s="560">
        <v>149</v>
      </c>
      <c r="F394" s="560">
        <v>5</v>
      </c>
      <c r="G394" s="560" t="s">
        <v>286</v>
      </c>
      <c r="H394" s="566">
        <v>4.179523141654979</v>
      </c>
      <c r="I394" s="567" t="s">
        <v>288</v>
      </c>
      <c r="J394" s="568" t="s">
        <v>288</v>
      </c>
      <c r="L394" s="373">
        <v>1</v>
      </c>
    </row>
    <row r="395" spans="1:12">
      <c r="A395" s="565">
        <v>390</v>
      </c>
      <c r="B395" s="560" t="s">
        <v>278</v>
      </c>
      <c r="C395" s="560" t="s">
        <v>462</v>
      </c>
      <c r="D395" s="560" t="s">
        <v>291</v>
      </c>
      <c r="E395" s="560">
        <v>159</v>
      </c>
      <c r="F395" s="560">
        <v>4</v>
      </c>
      <c r="G395" s="560" t="s">
        <v>286</v>
      </c>
      <c r="H395" s="566">
        <v>4.4600280504908838</v>
      </c>
      <c r="I395" s="567" t="s">
        <v>464</v>
      </c>
      <c r="J395" s="568" t="s">
        <v>288</v>
      </c>
      <c r="L395" s="373">
        <v>1</v>
      </c>
    </row>
    <row r="396" spans="1:12">
      <c r="A396" s="565">
        <v>391</v>
      </c>
      <c r="B396" s="560" t="s">
        <v>278</v>
      </c>
      <c r="C396" s="560" t="s">
        <v>462</v>
      </c>
      <c r="D396" s="560" t="s">
        <v>291</v>
      </c>
      <c r="E396" s="560">
        <v>156</v>
      </c>
      <c r="F396" s="560">
        <v>5</v>
      </c>
      <c r="G396" s="560" t="s">
        <v>286</v>
      </c>
      <c r="H396" s="566">
        <v>4.3758765778401125</v>
      </c>
      <c r="I396" s="567" t="s">
        <v>499</v>
      </c>
      <c r="J396" s="568" t="s">
        <v>288</v>
      </c>
      <c r="L396" s="373">
        <v>1</v>
      </c>
    </row>
    <row r="397" spans="1:12" ht="21">
      <c r="A397" s="565">
        <v>392</v>
      </c>
      <c r="B397" s="560" t="s">
        <v>278</v>
      </c>
      <c r="C397" s="560" t="s">
        <v>462</v>
      </c>
      <c r="D397" s="560" t="s">
        <v>291</v>
      </c>
      <c r="E397" s="560">
        <v>153</v>
      </c>
      <c r="F397" s="560">
        <v>6</v>
      </c>
      <c r="G397" s="560" t="s">
        <v>34</v>
      </c>
      <c r="H397" s="566">
        <v>1961.5384615384614</v>
      </c>
      <c r="I397" s="567" t="s">
        <v>288</v>
      </c>
      <c r="J397" s="568" t="s">
        <v>498</v>
      </c>
      <c r="L397" s="373">
        <v>1</v>
      </c>
    </row>
    <row r="398" spans="1:12">
      <c r="A398" s="565">
        <v>393</v>
      </c>
      <c r="B398" s="560" t="s">
        <v>278</v>
      </c>
      <c r="C398" s="560" t="s">
        <v>462</v>
      </c>
      <c r="D398" s="560" t="s">
        <v>292</v>
      </c>
      <c r="E398" s="560">
        <v>121</v>
      </c>
      <c r="F398" s="560">
        <v>2</v>
      </c>
      <c r="G398" s="560" t="s">
        <v>34</v>
      </c>
      <c r="H398" s="566">
        <v>1551.2820512820513</v>
      </c>
      <c r="I398" s="567" t="s">
        <v>464</v>
      </c>
      <c r="J398" s="568" t="s">
        <v>288</v>
      </c>
      <c r="L398" s="373">
        <v>1</v>
      </c>
    </row>
    <row r="399" spans="1:12" ht="21">
      <c r="A399" s="565">
        <v>394</v>
      </c>
      <c r="B399" s="560" t="s">
        <v>278</v>
      </c>
      <c r="C399" s="560" t="s">
        <v>462</v>
      </c>
      <c r="D399" s="560" t="s">
        <v>291</v>
      </c>
      <c r="E399" s="560">
        <v>127</v>
      </c>
      <c r="F399" s="560">
        <v>3</v>
      </c>
      <c r="G399" s="560" t="s">
        <v>34</v>
      </c>
      <c r="H399" s="566">
        <v>1628.2051282051282</v>
      </c>
      <c r="I399" s="567" t="s">
        <v>489</v>
      </c>
      <c r="J399" s="568" t="s">
        <v>288</v>
      </c>
      <c r="L399" s="373">
        <v>1</v>
      </c>
    </row>
    <row r="400" spans="1:12">
      <c r="A400" s="565">
        <v>395</v>
      </c>
      <c r="B400" s="560" t="s">
        <v>278</v>
      </c>
      <c r="C400" s="560" t="s">
        <v>462</v>
      </c>
      <c r="D400" s="560" t="s">
        <v>291</v>
      </c>
      <c r="E400" s="560">
        <v>148</v>
      </c>
      <c r="F400" s="560">
        <v>5</v>
      </c>
      <c r="G400" s="560" t="s">
        <v>286</v>
      </c>
      <c r="H400" s="566">
        <v>4.1514726507713888</v>
      </c>
      <c r="I400" s="567" t="s">
        <v>288</v>
      </c>
      <c r="J400" s="568" t="s">
        <v>288</v>
      </c>
      <c r="L400" s="373">
        <v>1</v>
      </c>
    </row>
    <row r="401" spans="1:12">
      <c r="A401" s="565">
        <v>396</v>
      </c>
      <c r="B401" s="560" t="s">
        <v>278</v>
      </c>
      <c r="C401" s="560" t="s">
        <v>462</v>
      </c>
      <c r="D401" s="560" t="s">
        <v>291</v>
      </c>
      <c r="E401" s="560">
        <v>137</v>
      </c>
      <c r="F401" s="560">
        <v>3</v>
      </c>
      <c r="G401" s="560" t="s">
        <v>34</v>
      </c>
      <c r="H401" s="566">
        <v>1756.4102564102564</v>
      </c>
      <c r="I401" s="567" t="s">
        <v>499</v>
      </c>
      <c r="J401" s="568" t="s">
        <v>288</v>
      </c>
      <c r="L401" s="373">
        <v>1</v>
      </c>
    </row>
    <row r="402" spans="1:12">
      <c r="A402" s="565">
        <v>397</v>
      </c>
      <c r="B402" s="560" t="s">
        <v>278</v>
      </c>
      <c r="C402" s="560" t="s">
        <v>462</v>
      </c>
      <c r="D402" s="560" t="s">
        <v>291</v>
      </c>
      <c r="E402" s="560">
        <v>136</v>
      </c>
      <c r="F402" s="560">
        <v>4</v>
      </c>
      <c r="G402" s="560" t="s">
        <v>286</v>
      </c>
      <c r="H402" s="566">
        <v>3.8148667601683033</v>
      </c>
      <c r="I402" s="567" t="s">
        <v>464</v>
      </c>
      <c r="J402" s="568" t="s">
        <v>288</v>
      </c>
      <c r="L402" s="373">
        <v>1</v>
      </c>
    </row>
    <row r="403" spans="1:12">
      <c r="A403" s="565">
        <v>398</v>
      </c>
      <c r="B403" s="560" t="s">
        <v>278</v>
      </c>
      <c r="C403" s="560" t="s">
        <v>462</v>
      </c>
      <c r="D403" s="560" t="s">
        <v>291</v>
      </c>
      <c r="E403" s="560">
        <v>120</v>
      </c>
      <c r="F403" s="560">
        <v>6</v>
      </c>
      <c r="G403" s="560" t="s">
        <v>34</v>
      </c>
      <c r="H403" s="566">
        <v>1538.4615384615386</v>
      </c>
      <c r="I403" s="567" t="s">
        <v>499</v>
      </c>
      <c r="J403" s="568" t="s">
        <v>288</v>
      </c>
      <c r="L403" s="373">
        <v>1</v>
      </c>
    </row>
    <row r="404" spans="1:12">
      <c r="A404" s="565">
        <v>399</v>
      </c>
      <c r="B404" s="560" t="s">
        <v>278</v>
      </c>
      <c r="C404" s="560" t="s">
        <v>462</v>
      </c>
      <c r="D404" s="560" t="s">
        <v>291</v>
      </c>
      <c r="E404" s="560">
        <v>120</v>
      </c>
      <c r="F404" s="560">
        <v>5</v>
      </c>
      <c r="G404" s="560" t="s">
        <v>34</v>
      </c>
      <c r="H404" s="566">
        <v>1538.4615384615386</v>
      </c>
      <c r="I404" s="567" t="s">
        <v>499</v>
      </c>
      <c r="J404" s="568" t="s">
        <v>288</v>
      </c>
      <c r="L404" s="373">
        <v>1</v>
      </c>
    </row>
    <row r="405" spans="1:12">
      <c r="A405" s="565">
        <v>400</v>
      </c>
      <c r="B405" s="560" t="s">
        <v>278</v>
      </c>
      <c r="C405" s="560" t="s">
        <v>462</v>
      </c>
      <c r="D405" s="560" t="s">
        <v>292</v>
      </c>
      <c r="E405" s="560">
        <v>144</v>
      </c>
      <c r="F405" s="560">
        <v>3</v>
      </c>
      <c r="G405" s="560" t="s">
        <v>34</v>
      </c>
      <c r="H405" s="566">
        <v>1846.1538461538462</v>
      </c>
      <c r="I405" s="567" t="s">
        <v>464</v>
      </c>
      <c r="J405" s="568" t="s">
        <v>288</v>
      </c>
      <c r="L405" s="373">
        <v>1</v>
      </c>
    </row>
    <row r="406" spans="1:12">
      <c r="A406" s="565">
        <v>401</v>
      </c>
      <c r="B406" s="560" t="s">
        <v>278</v>
      </c>
      <c r="C406" s="560" t="s">
        <v>462</v>
      </c>
      <c r="D406" s="560" t="s">
        <v>504</v>
      </c>
      <c r="E406" s="560">
        <v>142</v>
      </c>
      <c r="F406" s="560">
        <v>3</v>
      </c>
      <c r="G406" s="560" t="s">
        <v>34</v>
      </c>
      <c r="H406" s="566">
        <v>1820.5128205128206</v>
      </c>
      <c r="I406" s="567" t="s">
        <v>499</v>
      </c>
      <c r="J406" s="568" t="s">
        <v>288</v>
      </c>
      <c r="L406" s="373">
        <v>1</v>
      </c>
    </row>
    <row r="407" spans="1:12">
      <c r="A407" s="565">
        <v>402</v>
      </c>
      <c r="B407" s="560" t="s">
        <v>278</v>
      </c>
      <c r="C407" s="560" t="s">
        <v>462</v>
      </c>
      <c r="D407" s="560" t="s">
        <v>291</v>
      </c>
      <c r="E407" s="560">
        <v>151</v>
      </c>
      <c r="F407" s="560">
        <v>4</v>
      </c>
      <c r="G407" s="560" t="s">
        <v>287</v>
      </c>
      <c r="H407" s="566">
        <v>30200</v>
      </c>
      <c r="I407" s="567" t="s">
        <v>499</v>
      </c>
      <c r="J407" s="568" t="s">
        <v>288</v>
      </c>
      <c r="L407" s="373">
        <v>1</v>
      </c>
    </row>
    <row r="408" spans="1:12">
      <c r="A408" s="565">
        <v>403</v>
      </c>
      <c r="B408" s="560" t="s">
        <v>278</v>
      </c>
      <c r="C408" s="560" t="s">
        <v>462</v>
      </c>
      <c r="D408" s="560" t="s">
        <v>293</v>
      </c>
      <c r="E408" s="560">
        <v>132</v>
      </c>
      <c r="F408" s="560">
        <v>3</v>
      </c>
      <c r="G408" s="560" t="s">
        <v>34</v>
      </c>
      <c r="H408" s="566">
        <v>1692.3076923076924</v>
      </c>
      <c r="I408" s="567" t="s">
        <v>499</v>
      </c>
      <c r="J408" s="568" t="s">
        <v>500</v>
      </c>
      <c r="L408" s="373">
        <v>1</v>
      </c>
    </row>
    <row r="409" spans="1:12" ht="21">
      <c r="A409" s="565">
        <v>404</v>
      </c>
      <c r="B409" s="560" t="s">
        <v>278</v>
      </c>
      <c r="C409" s="560" t="s">
        <v>462</v>
      </c>
      <c r="D409" s="560" t="s">
        <v>294</v>
      </c>
      <c r="E409" s="560">
        <v>135</v>
      </c>
      <c r="F409" s="560">
        <v>4</v>
      </c>
      <c r="G409" s="560" t="s">
        <v>34</v>
      </c>
      <c r="H409" s="566">
        <v>1730.7692307692307</v>
      </c>
      <c r="I409" s="567" t="s">
        <v>489</v>
      </c>
      <c r="J409" s="568" t="s">
        <v>288</v>
      </c>
      <c r="L409" s="373">
        <v>1</v>
      </c>
    </row>
    <row r="410" spans="1:12" ht="21">
      <c r="A410" s="565">
        <v>405</v>
      </c>
      <c r="B410" s="560" t="s">
        <v>278</v>
      </c>
      <c r="C410" s="560" t="s">
        <v>462</v>
      </c>
      <c r="D410" s="560" t="s">
        <v>294</v>
      </c>
      <c r="E410" s="560">
        <v>162</v>
      </c>
      <c r="F410" s="560">
        <v>5</v>
      </c>
      <c r="G410" s="560" t="s">
        <v>34</v>
      </c>
      <c r="H410" s="566">
        <v>2076.9230769230771</v>
      </c>
      <c r="I410" s="567" t="s">
        <v>489</v>
      </c>
      <c r="J410" s="568" t="s">
        <v>288</v>
      </c>
      <c r="L410" s="373">
        <v>1</v>
      </c>
    </row>
    <row r="411" spans="1:12" ht="21">
      <c r="A411" s="565">
        <v>406</v>
      </c>
      <c r="B411" s="560" t="s">
        <v>278</v>
      </c>
      <c r="C411" s="560" t="s">
        <v>462</v>
      </c>
      <c r="D411" s="560" t="s">
        <v>294</v>
      </c>
      <c r="E411" s="560">
        <v>141</v>
      </c>
      <c r="F411" s="560">
        <v>4</v>
      </c>
      <c r="G411" s="560" t="s">
        <v>34</v>
      </c>
      <c r="H411" s="566">
        <v>1807.6923076923076</v>
      </c>
      <c r="I411" s="567" t="s">
        <v>489</v>
      </c>
      <c r="J411" s="568" t="s">
        <v>288</v>
      </c>
      <c r="L411" s="373">
        <v>1</v>
      </c>
    </row>
    <row r="412" spans="1:12">
      <c r="A412" s="565">
        <v>407</v>
      </c>
      <c r="B412" s="560" t="s">
        <v>278</v>
      </c>
      <c r="C412" s="560" t="s">
        <v>462</v>
      </c>
      <c r="D412" s="560" t="s">
        <v>290</v>
      </c>
      <c r="E412" s="560">
        <v>132</v>
      </c>
      <c r="F412" s="560">
        <v>4</v>
      </c>
      <c r="G412" s="560" t="s">
        <v>286</v>
      </c>
      <c r="H412" s="566">
        <v>3.7026647966339414</v>
      </c>
      <c r="I412" s="567" t="s">
        <v>288</v>
      </c>
      <c r="J412" s="568" t="s">
        <v>288</v>
      </c>
      <c r="L412" s="373">
        <v>1</v>
      </c>
    </row>
    <row r="413" spans="1:12">
      <c r="A413" s="565">
        <v>408</v>
      </c>
      <c r="B413" s="560" t="s">
        <v>278</v>
      </c>
      <c r="C413" s="560" t="s">
        <v>462</v>
      </c>
      <c r="D413" s="560" t="s">
        <v>292</v>
      </c>
      <c r="E413" s="560">
        <v>171</v>
      </c>
      <c r="F413" s="560">
        <v>6</v>
      </c>
      <c r="G413" s="560" t="s">
        <v>34</v>
      </c>
      <c r="H413" s="566">
        <v>2192.3076923076924</v>
      </c>
      <c r="I413" s="567" t="s">
        <v>499</v>
      </c>
      <c r="J413" s="568" t="s">
        <v>288</v>
      </c>
      <c r="L413" s="373">
        <v>1</v>
      </c>
    </row>
    <row r="414" spans="1:12">
      <c r="A414" s="565">
        <v>409</v>
      </c>
      <c r="B414" s="560" t="s">
        <v>278</v>
      </c>
      <c r="C414" s="560" t="s">
        <v>462</v>
      </c>
      <c r="D414" s="560" t="s">
        <v>291</v>
      </c>
      <c r="E414" s="560">
        <v>127</v>
      </c>
      <c r="F414" s="560">
        <v>3</v>
      </c>
      <c r="G414" s="560" t="s">
        <v>34</v>
      </c>
      <c r="H414" s="566">
        <v>1628.2051282051282</v>
      </c>
      <c r="I414" s="567" t="s">
        <v>499</v>
      </c>
      <c r="J414" s="568" t="s">
        <v>288</v>
      </c>
      <c r="L414" s="373">
        <v>1</v>
      </c>
    </row>
    <row r="415" spans="1:12">
      <c r="A415" s="565">
        <v>410</v>
      </c>
      <c r="B415" s="560" t="s">
        <v>278</v>
      </c>
      <c r="C415" s="560" t="s">
        <v>462</v>
      </c>
      <c r="D415" s="560" t="s">
        <v>291</v>
      </c>
      <c r="E415" s="560">
        <v>135</v>
      </c>
      <c r="F415" s="560">
        <v>5</v>
      </c>
      <c r="G415" s="560" t="s">
        <v>286</v>
      </c>
      <c r="H415" s="566">
        <v>3.7868162692847127</v>
      </c>
      <c r="I415" s="567" t="s">
        <v>288</v>
      </c>
      <c r="J415" s="568" t="s">
        <v>288</v>
      </c>
      <c r="L415" s="373">
        <v>1</v>
      </c>
    </row>
    <row r="416" spans="1:12">
      <c r="A416" s="565">
        <v>411</v>
      </c>
      <c r="B416" s="560" t="s">
        <v>278</v>
      </c>
      <c r="C416" s="560" t="s">
        <v>462</v>
      </c>
      <c r="D416" s="560" t="s">
        <v>292</v>
      </c>
      <c r="E416" s="560">
        <v>125</v>
      </c>
      <c r="F416" s="560">
        <v>2</v>
      </c>
      <c r="G416" s="560" t="s">
        <v>286</v>
      </c>
      <c r="H416" s="566">
        <v>3.5063113604488079</v>
      </c>
      <c r="I416" s="567" t="s">
        <v>288</v>
      </c>
      <c r="J416" s="568" t="s">
        <v>288</v>
      </c>
      <c r="L416" s="373">
        <v>1</v>
      </c>
    </row>
    <row r="417" spans="1:12">
      <c r="A417" s="565">
        <v>412</v>
      </c>
      <c r="B417" s="560" t="s">
        <v>278</v>
      </c>
      <c r="C417" s="560" t="s">
        <v>462</v>
      </c>
      <c r="D417" s="560" t="s">
        <v>291</v>
      </c>
      <c r="E417" s="560">
        <v>95</v>
      </c>
      <c r="F417" s="560">
        <v>3</v>
      </c>
      <c r="G417" s="560" t="s">
        <v>34</v>
      </c>
      <c r="H417" s="566">
        <v>1217.948717948718</v>
      </c>
      <c r="I417" s="567" t="s">
        <v>499</v>
      </c>
      <c r="J417" s="568" t="s">
        <v>288</v>
      </c>
      <c r="L417" s="373">
        <v>1</v>
      </c>
    </row>
    <row r="418" spans="1:12">
      <c r="A418" s="565">
        <v>413</v>
      </c>
      <c r="B418" s="560" t="s">
        <v>278</v>
      </c>
      <c r="C418" s="560" t="s">
        <v>462</v>
      </c>
      <c r="D418" s="560" t="s">
        <v>291</v>
      </c>
      <c r="E418" s="560">
        <v>128</v>
      </c>
      <c r="F418" s="560">
        <v>2</v>
      </c>
      <c r="G418" s="560" t="s">
        <v>34</v>
      </c>
      <c r="H418" s="566">
        <v>1641.0256410256411</v>
      </c>
      <c r="I418" s="567" t="s">
        <v>499</v>
      </c>
      <c r="J418" s="568" t="s">
        <v>288</v>
      </c>
      <c r="L418" s="373">
        <v>1</v>
      </c>
    </row>
    <row r="419" spans="1:12" ht="21">
      <c r="A419" s="565">
        <v>414</v>
      </c>
      <c r="B419" s="560" t="s">
        <v>278</v>
      </c>
      <c r="C419" s="560" t="s">
        <v>462</v>
      </c>
      <c r="D419" s="560" t="s">
        <v>294</v>
      </c>
      <c r="E419" s="560">
        <v>145</v>
      </c>
      <c r="F419" s="560">
        <v>4</v>
      </c>
      <c r="G419" s="560" t="s">
        <v>34</v>
      </c>
      <c r="H419" s="566">
        <v>1858.9743589743589</v>
      </c>
      <c r="I419" s="567" t="s">
        <v>489</v>
      </c>
      <c r="J419" s="568" t="s">
        <v>288</v>
      </c>
      <c r="L419" s="373">
        <v>1</v>
      </c>
    </row>
    <row r="420" spans="1:12" ht="21">
      <c r="A420" s="565">
        <v>415</v>
      </c>
      <c r="B420" s="560" t="s">
        <v>278</v>
      </c>
      <c r="C420" s="560" t="s">
        <v>462</v>
      </c>
      <c r="D420" s="560" t="s">
        <v>291</v>
      </c>
      <c r="E420" s="560">
        <v>112</v>
      </c>
      <c r="F420" s="560">
        <v>3</v>
      </c>
      <c r="G420" s="560" t="s">
        <v>34</v>
      </c>
      <c r="H420" s="566">
        <v>1435.8974358974358</v>
      </c>
      <c r="I420" s="567" t="s">
        <v>489</v>
      </c>
      <c r="J420" s="568" t="s">
        <v>288</v>
      </c>
      <c r="L420" s="373">
        <v>1</v>
      </c>
    </row>
    <row r="421" spans="1:12" ht="21">
      <c r="A421" s="565">
        <v>416</v>
      </c>
      <c r="B421" s="560" t="s">
        <v>278</v>
      </c>
      <c r="C421" s="560" t="s">
        <v>462</v>
      </c>
      <c r="D421" s="560" t="s">
        <v>294</v>
      </c>
      <c r="E421" s="560">
        <v>131</v>
      </c>
      <c r="F421" s="560">
        <v>3</v>
      </c>
      <c r="G421" s="560" t="s">
        <v>34</v>
      </c>
      <c r="H421" s="566">
        <v>1679.4871794871794</v>
      </c>
      <c r="I421" s="567" t="s">
        <v>489</v>
      </c>
      <c r="J421" s="568" t="s">
        <v>288</v>
      </c>
      <c r="L421" s="373">
        <v>1</v>
      </c>
    </row>
    <row r="422" spans="1:12">
      <c r="A422" s="565">
        <v>417</v>
      </c>
      <c r="B422" s="560" t="s">
        <v>278</v>
      </c>
      <c r="C422" s="560" t="s">
        <v>462</v>
      </c>
      <c r="D422" s="560" t="s">
        <v>293</v>
      </c>
      <c r="E422" s="560">
        <v>124</v>
      </c>
      <c r="F422" s="560">
        <v>4</v>
      </c>
      <c r="G422" s="560" t="s">
        <v>34</v>
      </c>
      <c r="H422" s="566">
        <v>1589.7435897435898</v>
      </c>
      <c r="I422" s="567" t="s">
        <v>499</v>
      </c>
      <c r="J422" s="568" t="s">
        <v>288</v>
      </c>
      <c r="L422" s="373">
        <v>1</v>
      </c>
    </row>
    <row r="423" spans="1:12" ht="21">
      <c r="A423" s="565">
        <v>418</v>
      </c>
      <c r="B423" s="560" t="s">
        <v>278</v>
      </c>
      <c r="C423" s="560" t="s">
        <v>462</v>
      </c>
      <c r="D423" s="560" t="s">
        <v>294</v>
      </c>
      <c r="E423" s="560">
        <v>110</v>
      </c>
      <c r="F423" s="560">
        <v>2</v>
      </c>
      <c r="G423" s="560" t="s">
        <v>34</v>
      </c>
      <c r="H423" s="566">
        <v>1410.2564102564102</v>
      </c>
      <c r="I423" s="567" t="s">
        <v>489</v>
      </c>
      <c r="J423" s="568" t="s">
        <v>288</v>
      </c>
      <c r="L423" s="373">
        <v>1</v>
      </c>
    </row>
    <row r="424" spans="1:12" ht="21">
      <c r="A424" s="565">
        <v>419</v>
      </c>
      <c r="B424" s="560" t="s">
        <v>278</v>
      </c>
      <c r="C424" s="560" t="s">
        <v>462</v>
      </c>
      <c r="D424" s="560" t="s">
        <v>293</v>
      </c>
      <c r="E424" s="560">
        <v>115</v>
      </c>
      <c r="F424" s="560">
        <v>3</v>
      </c>
      <c r="G424" s="560" t="s">
        <v>34</v>
      </c>
      <c r="H424" s="566">
        <v>1474.3589743589744</v>
      </c>
      <c r="I424" s="567" t="s">
        <v>489</v>
      </c>
      <c r="J424" s="568" t="s">
        <v>288</v>
      </c>
      <c r="L424" s="373">
        <v>1</v>
      </c>
    </row>
    <row r="425" spans="1:12">
      <c r="A425" s="565">
        <v>420</v>
      </c>
      <c r="B425" s="560" t="s">
        <v>278</v>
      </c>
      <c r="C425" s="560" t="s">
        <v>462</v>
      </c>
      <c r="D425" s="560" t="s">
        <v>291</v>
      </c>
      <c r="E425" s="560">
        <v>145</v>
      </c>
      <c r="F425" s="560">
        <v>3</v>
      </c>
      <c r="G425" s="560" t="s">
        <v>34</v>
      </c>
      <c r="H425" s="566">
        <v>1858.9743589743589</v>
      </c>
      <c r="I425" s="567" t="s">
        <v>499</v>
      </c>
      <c r="J425" s="568" t="s">
        <v>288</v>
      </c>
      <c r="L425" s="373">
        <v>1</v>
      </c>
    </row>
    <row r="426" spans="1:12">
      <c r="A426" s="565">
        <v>421</v>
      </c>
      <c r="B426" s="560" t="s">
        <v>278</v>
      </c>
      <c r="C426" s="560" t="s">
        <v>462</v>
      </c>
      <c r="D426" s="560" t="s">
        <v>291</v>
      </c>
      <c r="E426" s="560">
        <v>139</v>
      </c>
      <c r="F426" s="560">
        <v>5</v>
      </c>
      <c r="G426" s="560" t="s">
        <v>286</v>
      </c>
      <c r="H426" s="566">
        <v>3.8990182328190746</v>
      </c>
      <c r="I426" s="567" t="s">
        <v>499</v>
      </c>
      <c r="J426" s="568" t="s">
        <v>288</v>
      </c>
      <c r="L426" s="373">
        <v>1</v>
      </c>
    </row>
    <row r="427" spans="1:12">
      <c r="A427" s="565">
        <v>422</v>
      </c>
      <c r="B427" s="560" t="s">
        <v>278</v>
      </c>
      <c r="C427" s="560" t="s">
        <v>462</v>
      </c>
      <c r="D427" s="560" t="s">
        <v>291</v>
      </c>
      <c r="E427" s="560">
        <v>122</v>
      </c>
      <c r="F427" s="560">
        <v>4</v>
      </c>
      <c r="G427" s="560" t="s">
        <v>286</v>
      </c>
      <c r="H427" s="566">
        <v>3.4221598877980366</v>
      </c>
      <c r="I427" s="567" t="s">
        <v>288</v>
      </c>
      <c r="J427" s="568" t="s">
        <v>288</v>
      </c>
      <c r="L427" s="373">
        <v>1</v>
      </c>
    </row>
    <row r="428" spans="1:12">
      <c r="A428" s="565">
        <v>423</v>
      </c>
      <c r="B428" s="560" t="s">
        <v>278</v>
      </c>
      <c r="C428" s="560" t="s">
        <v>462</v>
      </c>
      <c r="D428" s="560" t="s">
        <v>292</v>
      </c>
      <c r="E428" s="560">
        <v>90</v>
      </c>
      <c r="F428" s="560">
        <v>2</v>
      </c>
      <c r="G428" s="560" t="s">
        <v>286</v>
      </c>
      <c r="H428" s="566">
        <v>2.5245441795231418</v>
      </c>
      <c r="I428" s="567" t="s">
        <v>464</v>
      </c>
      <c r="J428" s="568" t="s">
        <v>288</v>
      </c>
      <c r="L428" s="373">
        <v>1</v>
      </c>
    </row>
    <row r="429" spans="1:12">
      <c r="A429" s="565">
        <v>424</v>
      </c>
      <c r="B429" s="560" t="s">
        <v>278</v>
      </c>
      <c r="C429" s="560" t="s">
        <v>462</v>
      </c>
      <c r="D429" s="560" t="s">
        <v>292</v>
      </c>
      <c r="E429" s="560">
        <v>90</v>
      </c>
      <c r="F429" s="560">
        <v>3</v>
      </c>
      <c r="G429" s="560" t="s">
        <v>286</v>
      </c>
      <c r="H429" s="566">
        <v>2.5245441795231418</v>
      </c>
      <c r="I429" s="567" t="s">
        <v>464</v>
      </c>
      <c r="J429" s="568" t="s">
        <v>288</v>
      </c>
      <c r="L429" s="373">
        <v>1</v>
      </c>
    </row>
    <row r="430" spans="1:12">
      <c r="A430" s="565">
        <v>425</v>
      </c>
      <c r="B430" s="560" t="s">
        <v>278</v>
      </c>
      <c r="C430" s="560" t="s">
        <v>462</v>
      </c>
      <c r="D430" s="560" t="s">
        <v>291</v>
      </c>
      <c r="E430" s="560">
        <v>121</v>
      </c>
      <c r="F430" s="560">
        <v>4</v>
      </c>
      <c r="G430" s="560" t="s">
        <v>34</v>
      </c>
      <c r="H430" s="566">
        <v>1551.2820512820513</v>
      </c>
      <c r="I430" s="567" t="s">
        <v>499</v>
      </c>
      <c r="J430" s="568" t="s">
        <v>288</v>
      </c>
      <c r="L430" s="373">
        <v>1</v>
      </c>
    </row>
    <row r="431" spans="1:12">
      <c r="A431" s="565">
        <v>426</v>
      </c>
      <c r="B431" s="560" t="s">
        <v>278</v>
      </c>
      <c r="C431" s="560" t="s">
        <v>462</v>
      </c>
      <c r="D431" s="560" t="s">
        <v>291</v>
      </c>
      <c r="E431" s="560">
        <v>115</v>
      </c>
      <c r="F431" s="560">
        <v>2</v>
      </c>
      <c r="G431" s="560" t="s">
        <v>34</v>
      </c>
      <c r="H431" s="566">
        <v>1474.3589743589744</v>
      </c>
      <c r="I431" s="567" t="s">
        <v>464</v>
      </c>
      <c r="J431" s="568" t="s">
        <v>288</v>
      </c>
      <c r="L431" s="373">
        <v>1</v>
      </c>
    </row>
    <row r="432" spans="1:12" ht="21">
      <c r="A432" s="565">
        <v>427</v>
      </c>
      <c r="B432" s="560" t="s">
        <v>278</v>
      </c>
      <c r="C432" s="560" t="s">
        <v>462</v>
      </c>
      <c r="D432" s="560" t="s">
        <v>291</v>
      </c>
      <c r="E432" s="560">
        <v>131</v>
      </c>
      <c r="F432" s="560">
        <v>4</v>
      </c>
      <c r="G432" s="560" t="s">
        <v>34</v>
      </c>
      <c r="H432" s="566">
        <v>1679.4871794871794</v>
      </c>
      <c r="I432" s="567" t="s">
        <v>489</v>
      </c>
      <c r="J432" s="568" t="s">
        <v>288</v>
      </c>
      <c r="L432" s="373">
        <v>1</v>
      </c>
    </row>
    <row r="433" spans="1:12" ht="21">
      <c r="A433" s="565">
        <v>428</v>
      </c>
      <c r="B433" s="560" t="s">
        <v>278</v>
      </c>
      <c r="C433" s="560" t="s">
        <v>462</v>
      </c>
      <c r="D433" s="560" t="s">
        <v>291</v>
      </c>
      <c r="E433" s="560">
        <v>110</v>
      </c>
      <c r="F433" s="560">
        <v>5</v>
      </c>
      <c r="G433" s="560" t="s">
        <v>34</v>
      </c>
      <c r="H433" s="566">
        <v>1410.2564102564102</v>
      </c>
      <c r="I433" s="567" t="s">
        <v>489</v>
      </c>
      <c r="J433" s="568" t="s">
        <v>288</v>
      </c>
      <c r="L433" s="373">
        <v>1</v>
      </c>
    </row>
    <row r="434" spans="1:12" ht="21">
      <c r="A434" s="565">
        <v>429</v>
      </c>
      <c r="B434" s="560" t="s">
        <v>278</v>
      </c>
      <c r="C434" s="560" t="s">
        <v>462</v>
      </c>
      <c r="D434" s="560" t="s">
        <v>291</v>
      </c>
      <c r="E434" s="560">
        <v>110</v>
      </c>
      <c r="F434" s="560">
        <v>4</v>
      </c>
      <c r="G434" s="560" t="s">
        <v>34</v>
      </c>
      <c r="H434" s="566">
        <v>1410.2564102564102</v>
      </c>
      <c r="I434" s="567" t="s">
        <v>489</v>
      </c>
      <c r="J434" s="568" t="s">
        <v>288</v>
      </c>
      <c r="L434" s="373">
        <v>1</v>
      </c>
    </row>
    <row r="435" spans="1:12" ht="21">
      <c r="A435" s="565">
        <v>430</v>
      </c>
      <c r="B435" s="560" t="s">
        <v>278</v>
      </c>
      <c r="C435" s="560" t="s">
        <v>462</v>
      </c>
      <c r="D435" s="560" t="s">
        <v>291</v>
      </c>
      <c r="E435" s="560">
        <v>147</v>
      </c>
      <c r="F435" s="560">
        <v>4</v>
      </c>
      <c r="G435" s="560" t="s">
        <v>34</v>
      </c>
      <c r="H435" s="566">
        <v>1884.6153846153845</v>
      </c>
      <c r="I435" s="567" t="s">
        <v>489</v>
      </c>
      <c r="J435" s="568" t="s">
        <v>288</v>
      </c>
      <c r="L435" s="373">
        <v>1</v>
      </c>
    </row>
    <row r="436" spans="1:12" ht="21">
      <c r="A436" s="565">
        <v>431</v>
      </c>
      <c r="B436" s="560" t="s">
        <v>278</v>
      </c>
      <c r="C436" s="560" t="s">
        <v>462</v>
      </c>
      <c r="D436" s="560" t="s">
        <v>294</v>
      </c>
      <c r="E436" s="560">
        <v>124</v>
      </c>
      <c r="F436" s="560">
        <v>3</v>
      </c>
      <c r="G436" s="560" t="s">
        <v>34</v>
      </c>
      <c r="H436" s="566">
        <v>1589.7435897435898</v>
      </c>
      <c r="I436" s="567" t="s">
        <v>489</v>
      </c>
      <c r="J436" s="568" t="s">
        <v>288</v>
      </c>
      <c r="L436" s="373">
        <v>1</v>
      </c>
    </row>
    <row r="437" spans="1:12" ht="21">
      <c r="A437" s="565">
        <v>432</v>
      </c>
      <c r="B437" s="560" t="s">
        <v>278</v>
      </c>
      <c r="C437" s="560" t="s">
        <v>462</v>
      </c>
      <c r="D437" s="560" t="s">
        <v>294</v>
      </c>
      <c r="E437" s="560">
        <v>143</v>
      </c>
      <c r="F437" s="560">
        <v>3</v>
      </c>
      <c r="G437" s="560" t="s">
        <v>34</v>
      </c>
      <c r="H437" s="566">
        <v>1833.3333333333333</v>
      </c>
      <c r="I437" s="567" t="s">
        <v>489</v>
      </c>
      <c r="J437" s="568" t="s">
        <v>288</v>
      </c>
      <c r="L437" s="373">
        <v>1</v>
      </c>
    </row>
    <row r="438" spans="1:12" ht="21">
      <c r="A438" s="565">
        <v>433</v>
      </c>
      <c r="B438" s="560" t="s">
        <v>278</v>
      </c>
      <c r="C438" s="560" t="s">
        <v>462</v>
      </c>
      <c r="D438" s="560" t="s">
        <v>294</v>
      </c>
      <c r="E438" s="560">
        <v>151</v>
      </c>
      <c r="F438" s="560">
        <v>4</v>
      </c>
      <c r="G438" s="560" t="s">
        <v>34</v>
      </c>
      <c r="H438" s="566">
        <v>1935.8974358974358</v>
      </c>
      <c r="I438" s="567" t="s">
        <v>489</v>
      </c>
      <c r="J438" s="568" t="s">
        <v>288</v>
      </c>
      <c r="L438" s="373">
        <v>1</v>
      </c>
    </row>
    <row r="439" spans="1:12" ht="21">
      <c r="A439" s="565">
        <v>434</v>
      </c>
      <c r="B439" s="560" t="s">
        <v>278</v>
      </c>
      <c r="C439" s="560" t="s">
        <v>462</v>
      </c>
      <c r="D439" s="560" t="s">
        <v>294</v>
      </c>
      <c r="E439" s="560">
        <v>171</v>
      </c>
      <c r="F439" s="560">
        <v>5</v>
      </c>
      <c r="G439" s="560" t="s">
        <v>34</v>
      </c>
      <c r="H439" s="566">
        <v>2192.3076923076924</v>
      </c>
      <c r="I439" s="567" t="s">
        <v>489</v>
      </c>
      <c r="J439" s="568" t="s">
        <v>288</v>
      </c>
      <c r="L439" s="373">
        <v>1</v>
      </c>
    </row>
    <row r="440" spans="1:12" ht="21">
      <c r="A440" s="565">
        <v>435</v>
      </c>
      <c r="B440" s="560" t="s">
        <v>278</v>
      </c>
      <c r="C440" s="560" t="s">
        <v>462</v>
      </c>
      <c r="D440" s="560" t="s">
        <v>291</v>
      </c>
      <c r="E440" s="560">
        <v>129</v>
      </c>
      <c r="F440" s="560">
        <v>4</v>
      </c>
      <c r="G440" s="560" t="s">
        <v>34</v>
      </c>
      <c r="H440" s="566">
        <v>1653.8461538461538</v>
      </c>
      <c r="I440" s="567" t="s">
        <v>489</v>
      </c>
      <c r="J440" s="568" t="s">
        <v>288</v>
      </c>
      <c r="L440" s="373">
        <v>1</v>
      </c>
    </row>
    <row r="441" spans="1:12">
      <c r="A441" s="565">
        <v>436</v>
      </c>
      <c r="B441" s="560" t="s">
        <v>278</v>
      </c>
      <c r="C441" s="560" t="s">
        <v>462</v>
      </c>
      <c r="D441" s="560" t="s">
        <v>291</v>
      </c>
      <c r="E441" s="560">
        <v>101</v>
      </c>
      <c r="F441" s="560">
        <v>3</v>
      </c>
      <c r="G441" s="560" t="s">
        <v>34</v>
      </c>
      <c r="H441" s="566">
        <v>1294.8717948717949</v>
      </c>
      <c r="I441" s="567" t="s">
        <v>499</v>
      </c>
      <c r="J441" s="568" t="s">
        <v>288</v>
      </c>
      <c r="L441" s="373">
        <v>1</v>
      </c>
    </row>
    <row r="442" spans="1:12">
      <c r="A442" s="565">
        <v>437</v>
      </c>
      <c r="B442" s="560" t="s">
        <v>278</v>
      </c>
      <c r="C442" s="560" t="s">
        <v>462</v>
      </c>
      <c r="D442" s="560" t="s">
        <v>291</v>
      </c>
      <c r="E442" s="560">
        <v>162</v>
      </c>
      <c r="F442" s="560">
        <v>4</v>
      </c>
      <c r="G442" s="560" t="s">
        <v>34</v>
      </c>
      <c r="H442" s="566">
        <v>2076.9230769230771</v>
      </c>
      <c r="I442" s="567" t="s">
        <v>499</v>
      </c>
      <c r="J442" s="568" t="s">
        <v>288</v>
      </c>
      <c r="L442" s="373">
        <v>1</v>
      </c>
    </row>
    <row r="443" spans="1:12">
      <c r="A443" s="565">
        <v>438</v>
      </c>
      <c r="B443" s="560" t="s">
        <v>278</v>
      </c>
      <c r="C443" s="560" t="s">
        <v>462</v>
      </c>
      <c r="D443" s="560" t="s">
        <v>291</v>
      </c>
      <c r="E443" s="560">
        <v>158</v>
      </c>
      <c r="F443" s="560">
        <v>5</v>
      </c>
      <c r="G443" s="560" t="s">
        <v>34</v>
      </c>
      <c r="H443" s="566">
        <v>2025.6410256410256</v>
      </c>
      <c r="I443" s="567" t="s">
        <v>499</v>
      </c>
      <c r="J443" s="568" t="s">
        <v>288</v>
      </c>
      <c r="L443" s="373">
        <v>1</v>
      </c>
    </row>
    <row r="444" spans="1:12">
      <c r="A444" s="565">
        <v>439</v>
      </c>
      <c r="B444" s="560" t="s">
        <v>278</v>
      </c>
      <c r="C444" s="560" t="s">
        <v>462</v>
      </c>
      <c r="D444" s="560" t="s">
        <v>292</v>
      </c>
      <c r="E444" s="560">
        <v>112</v>
      </c>
      <c r="F444" s="560">
        <v>2</v>
      </c>
      <c r="G444" s="560" t="s">
        <v>34</v>
      </c>
      <c r="H444" s="566">
        <v>1435.8974358974358</v>
      </c>
      <c r="I444" s="567" t="s">
        <v>499</v>
      </c>
      <c r="J444" s="568" t="s">
        <v>288</v>
      </c>
      <c r="L444" s="373">
        <v>1</v>
      </c>
    </row>
    <row r="445" spans="1:12">
      <c r="A445" s="565">
        <v>440</v>
      </c>
      <c r="B445" s="560" t="s">
        <v>278</v>
      </c>
      <c r="C445" s="560" t="s">
        <v>462</v>
      </c>
      <c r="D445" s="560" t="s">
        <v>291</v>
      </c>
      <c r="E445" s="560">
        <v>131</v>
      </c>
      <c r="F445" s="560">
        <v>4</v>
      </c>
      <c r="G445" s="560" t="s">
        <v>34</v>
      </c>
      <c r="H445" s="566">
        <v>1679.4871794871794</v>
      </c>
      <c r="I445" s="567" t="s">
        <v>499</v>
      </c>
      <c r="J445" s="568" t="s">
        <v>288</v>
      </c>
      <c r="L445" s="373">
        <v>1</v>
      </c>
    </row>
    <row r="446" spans="1:12" ht="21">
      <c r="A446" s="565">
        <v>441</v>
      </c>
      <c r="B446" s="560" t="s">
        <v>278</v>
      </c>
      <c r="C446" s="560" t="s">
        <v>462</v>
      </c>
      <c r="D446" s="560" t="s">
        <v>294</v>
      </c>
      <c r="E446" s="560">
        <v>173</v>
      </c>
      <c r="F446" s="560">
        <v>5</v>
      </c>
      <c r="G446" s="560" t="s">
        <v>34</v>
      </c>
      <c r="H446" s="566">
        <v>2217.9487179487178</v>
      </c>
      <c r="I446" s="567" t="s">
        <v>489</v>
      </c>
      <c r="J446" s="568" t="s">
        <v>288</v>
      </c>
      <c r="L446" s="373">
        <v>1</v>
      </c>
    </row>
    <row r="447" spans="1:12" ht="21">
      <c r="A447" s="565">
        <v>442</v>
      </c>
      <c r="B447" s="560" t="s">
        <v>278</v>
      </c>
      <c r="C447" s="560" t="s">
        <v>462</v>
      </c>
      <c r="D447" s="560" t="s">
        <v>294</v>
      </c>
      <c r="E447" s="560">
        <v>160</v>
      </c>
      <c r="F447" s="560">
        <v>4</v>
      </c>
      <c r="G447" s="560" t="s">
        <v>34</v>
      </c>
      <c r="H447" s="566">
        <v>2051.2820512820513</v>
      </c>
      <c r="I447" s="567" t="s">
        <v>489</v>
      </c>
      <c r="J447" s="568" t="s">
        <v>288</v>
      </c>
      <c r="L447" s="373">
        <v>1</v>
      </c>
    </row>
    <row r="448" spans="1:12" ht="21">
      <c r="A448" s="565">
        <v>443</v>
      </c>
      <c r="B448" s="560" t="s">
        <v>278</v>
      </c>
      <c r="C448" s="560" t="s">
        <v>462</v>
      </c>
      <c r="D448" s="560" t="s">
        <v>294</v>
      </c>
      <c r="E448" s="560">
        <v>143</v>
      </c>
      <c r="F448" s="560">
        <v>3</v>
      </c>
      <c r="G448" s="560" t="s">
        <v>34</v>
      </c>
      <c r="H448" s="566">
        <v>1833.3333333333333</v>
      </c>
      <c r="I448" s="567" t="s">
        <v>489</v>
      </c>
      <c r="J448" s="568" t="s">
        <v>288</v>
      </c>
      <c r="L448" s="373">
        <v>1</v>
      </c>
    </row>
    <row r="449" spans="1:12" ht="21">
      <c r="A449" s="565">
        <v>444</v>
      </c>
      <c r="B449" s="560" t="s">
        <v>278</v>
      </c>
      <c r="C449" s="560" t="s">
        <v>462</v>
      </c>
      <c r="D449" s="560" t="s">
        <v>294</v>
      </c>
      <c r="E449" s="560">
        <v>163</v>
      </c>
      <c r="F449" s="560">
        <v>4</v>
      </c>
      <c r="G449" s="560" t="s">
        <v>34</v>
      </c>
      <c r="H449" s="566">
        <v>2089.7435897435898</v>
      </c>
      <c r="I449" s="567" t="s">
        <v>489</v>
      </c>
      <c r="J449" s="568" t="s">
        <v>288</v>
      </c>
      <c r="L449" s="373">
        <v>1</v>
      </c>
    </row>
    <row r="450" spans="1:12">
      <c r="A450" s="565">
        <v>445</v>
      </c>
      <c r="B450" s="560" t="s">
        <v>278</v>
      </c>
      <c r="C450" s="560" t="s">
        <v>462</v>
      </c>
      <c r="D450" s="560" t="s">
        <v>292</v>
      </c>
      <c r="E450" s="560">
        <v>127</v>
      </c>
      <c r="F450" s="560">
        <v>4</v>
      </c>
      <c r="G450" s="560" t="s">
        <v>286</v>
      </c>
      <c r="H450" s="566">
        <v>3.562412342215989</v>
      </c>
      <c r="I450" s="567" t="s">
        <v>288</v>
      </c>
      <c r="J450" s="568" t="s">
        <v>288</v>
      </c>
      <c r="L450" s="373">
        <v>1</v>
      </c>
    </row>
    <row r="451" spans="1:12">
      <c r="A451" s="565">
        <v>446</v>
      </c>
      <c r="B451" s="560" t="s">
        <v>278</v>
      </c>
      <c r="C451" s="560" t="s">
        <v>462</v>
      </c>
      <c r="D451" s="560" t="s">
        <v>292</v>
      </c>
      <c r="E451" s="560">
        <v>138</v>
      </c>
      <c r="F451" s="560">
        <v>5</v>
      </c>
      <c r="G451" s="560" t="s">
        <v>286</v>
      </c>
      <c r="H451" s="566">
        <v>3.870967741935484</v>
      </c>
      <c r="I451" s="567" t="s">
        <v>288</v>
      </c>
      <c r="J451" s="568" t="s">
        <v>288</v>
      </c>
      <c r="L451" s="373">
        <v>1</v>
      </c>
    </row>
    <row r="452" spans="1:12" ht="21">
      <c r="A452" s="565">
        <v>447</v>
      </c>
      <c r="B452" s="560" t="s">
        <v>278</v>
      </c>
      <c r="C452" s="560" t="s">
        <v>462</v>
      </c>
      <c r="D452" s="560" t="s">
        <v>291</v>
      </c>
      <c r="E452" s="560">
        <v>147</v>
      </c>
      <c r="F452" s="560">
        <v>4</v>
      </c>
      <c r="G452" s="560" t="s">
        <v>286</v>
      </c>
      <c r="H452" s="566">
        <v>4.1234221598877978</v>
      </c>
      <c r="I452" s="567" t="s">
        <v>489</v>
      </c>
      <c r="J452" s="568" t="s">
        <v>288</v>
      </c>
      <c r="L452" s="373">
        <v>1</v>
      </c>
    </row>
    <row r="453" spans="1:12" ht="21">
      <c r="A453" s="565">
        <v>448</v>
      </c>
      <c r="B453" s="560" t="s">
        <v>278</v>
      </c>
      <c r="C453" s="560" t="s">
        <v>462</v>
      </c>
      <c r="D453" s="560" t="s">
        <v>294</v>
      </c>
      <c r="E453" s="560">
        <v>128</v>
      </c>
      <c r="F453" s="560">
        <v>3</v>
      </c>
      <c r="G453" s="560" t="s">
        <v>286</v>
      </c>
      <c r="H453" s="566">
        <v>3.5904628330995796</v>
      </c>
      <c r="I453" s="567" t="s">
        <v>489</v>
      </c>
      <c r="J453" s="568" t="s">
        <v>288</v>
      </c>
      <c r="L453" s="373">
        <v>1</v>
      </c>
    </row>
    <row r="454" spans="1:12" ht="21">
      <c r="A454" s="565">
        <v>449</v>
      </c>
      <c r="B454" s="560" t="s">
        <v>278</v>
      </c>
      <c r="C454" s="560" t="s">
        <v>462</v>
      </c>
      <c r="D454" s="560" t="s">
        <v>294</v>
      </c>
      <c r="E454" s="560">
        <v>168</v>
      </c>
      <c r="F454" s="560">
        <v>5</v>
      </c>
      <c r="G454" s="560" t="s">
        <v>286</v>
      </c>
      <c r="H454" s="566">
        <v>4.7124824684431976</v>
      </c>
      <c r="I454" s="567" t="s">
        <v>489</v>
      </c>
      <c r="J454" s="568" t="s">
        <v>474</v>
      </c>
      <c r="L454" s="373">
        <v>1</v>
      </c>
    </row>
    <row r="455" spans="1:12">
      <c r="A455" s="565">
        <v>450</v>
      </c>
      <c r="B455" s="560" t="s">
        <v>278</v>
      </c>
      <c r="C455" s="560" t="s">
        <v>462</v>
      </c>
      <c r="D455" s="560" t="s">
        <v>291</v>
      </c>
      <c r="E455" s="560">
        <v>119</v>
      </c>
      <c r="F455" s="560">
        <v>5</v>
      </c>
      <c r="G455" s="560" t="s">
        <v>34</v>
      </c>
      <c r="H455" s="566">
        <v>1525.6410256410256</v>
      </c>
      <c r="I455" s="567" t="s">
        <v>499</v>
      </c>
      <c r="J455" s="568" t="s">
        <v>288</v>
      </c>
      <c r="L455" s="373">
        <v>1</v>
      </c>
    </row>
    <row r="456" spans="1:12">
      <c r="A456" s="565">
        <v>451</v>
      </c>
      <c r="B456" s="560" t="s">
        <v>278</v>
      </c>
      <c r="C456" s="560" t="s">
        <v>462</v>
      </c>
      <c r="D456" s="560" t="s">
        <v>291</v>
      </c>
      <c r="E456" s="560">
        <v>119</v>
      </c>
      <c r="F456" s="560">
        <v>4</v>
      </c>
      <c r="G456" s="560" t="s">
        <v>34</v>
      </c>
      <c r="H456" s="566">
        <v>1525.6410256410256</v>
      </c>
      <c r="I456" s="567" t="s">
        <v>499</v>
      </c>
      <c r="J456" s="568" t="s">
        <v>288</v>
      </c>
      <c r="L456" s="373">
        <v>1</v>
      </c>
    </row>
    <row r="457" spans="1:12" ht="21">
      <c r="A457" s="565">
        <v>452</v>
      </c>
      <c r="B457" s="560" t="s">
        <v>278</v>
      </c>
      <c r="C457" s="560" t="s">
        <v>462</v>
      </c>
      <c r="D457" s="560" t="s">
        <v>294</v>
      </c>
      <c r="E457" s="560">
        <v>162</v>
      </c>
      <c r="F457" s="560">
        <v>5</v>
      </c>
      <c r="G457" s="560" t="s">
        <v>34</v>
      </c>
      <c r="H457" s="566">
        <v>2076.9230769230771</v>
      </c>
      <c r="I457" s="567" t="s">
        <v>489</v>
      </c>
      <c r="J457" s="568" t="s">
        <v>505</v>
      </c>
      <c r="L457" s="373">
        <v>1</v>
      </c>
    </row>
    <row r="458" spans="1:12">
      <c r="A458" s="565">
        <v>453</v>
      </c>
      <c r="B458" s="560" t="s">
        <v>278</v>
      </c>
      <c r="C458" s="560" t="s">
        <v>462</v>
      </c>
      <c r="D458" s="560" t="s">
        <v>291</v>
      </c>
      <c r="E458" s="560">
        <v>131</v>
      </c>
      <c r="F458" s="560">
        <v>3</v>
      </c>
      <c r="G458" s="560" t="s">
        <v>286</v>
      </c>
      <c r="H458" s="566">
        <v>3.6746143057503509</v>
      </c>
      <c r="I458" s="567" t="s">
        <v>464</v>
      </c>
      <c r="J458" s="568" t="s">
        <v>288</v>
      </c>
      <c r="L458" s="373">
        <v>1</v>
      </c>
    </row>
    <row r="459" spans="1:12" ht="21">
      <c r="A459" s="565">
        <v>454</v>
      </c>
      <c r="B459" s="560" t="s">
        <v>278</v>
      </c>
      <c r="C459" s="560" t="s">
        <v>462</v>
      </c>
      <c r="D459" s="560" t="s">
        <v>294</v>
      </c>
      <c r="E459" s="560">
        <v>157</v>
      </c>
      <c r="F459" s="560">
        <v>4</v>
      </c>
      <c r="G459" s="560" t="s">
        <v>287</v>
      </c>
      <c r="H459" s="566">
        <v>31400</v>
      </c>
      <c r="I459" s="567" t="s">
        <v>489</v>
      </c>
      <c r="J459" s="568" t="s">
        <v>288</v>
      </c>
      <c r="L459" s="373">
        <v>1</v>
      </c>
    </row>
    <row r="460" spans="1:12" ht="21">
      <c r="A460" s="565">
        <v>455</v>
      </c>
      <c r="B460" s="560" t="s">
        <v>278</v>
      </c>
      <c r="C460" s="560" t="s">
        <v>462</v>
      </c>
      <c r="D460" s="560" t="s">
        <v>294</v>
      </c>
      <c r="E460" s="560">
        <v>151</v>
      </c>
      <c r="F460" s="560">
        <v>5</v>
      </c>
      <c r="G460" s="560" t="s">
        <v>287</v>
      </c>
      <c r="H460" s="566">
        <v>30200</v>
      </c>
      <c r="I460" s="567" t="s">
        <v>489</v>
      </c>
      <c r="J460" s="568" t="s">
        <v>474</v>
      </c>
      <c r="L460" s="373">
        <v>1</v>
      </c>
    </row>
    <row r="461" spans="1:12" ht="21">
      <c r="A461" s="565">
        <v>456</v>
      </c>
      <c r="B461" s="560" t="s">
        <v>278</v>
      </c>
      <c r="C461" s="560" t="s">
        <v>462</v>
      </c>
      <c r="D461" s="560" t="s">
        <v>294</v>
      </c>
      <c r="E461" s="560">
        <v>121</v>
      </c>
      <c r="F461" s="560">
        <v>4</v>
      </c>
      <c r="G461" s="560" t="s">
        <v>34</v>
      </c>
      <c r="H461" s="566">
        <v>1551.2820512820513</v>
      </c>
      <c r="I461" s="567" t="s">
        <v>489</v>
      </c>
      <c r="J461" s="568" t="s">
        <v>288</v>
      </c>
      <c r="L461" s="373">
        <v>1</v>
      </c>
    </row>
    <row r="462" spans="1:12" ht="21">
      <c r="A462" s="565">
        <v>457</v>
      </c>
      <c r="B462" s="560" t="s">
        <v>278</v>
      </c>
      <c r="C462" s="560" t="s">
        <v>462</v>
      </c>
      <c r="D462" s="560" t="s">
        <v>294</v>
      </c>
      <c r="E462" s="560">
        <v>119</v>
      </c>
      <c r="F462" s="560">
        <v>3</v>
      </c>
      <c r="G462" s="560" t="s">
        <v>34</v>
      </c>
      <c r="H462" s="566">
        <v>1525.6410256410256</v>
      </c>
      <c r="I462" s="567" t="s">
        <v>489</v>
      </c>
      <c r="J462" s="568" t="s">
        <v>501</v>
      </c>
      <c r="L462" s="373">
        <v>1</v>
      </c>
    </row>
    <row r="463" spans="1:12" ht="21">
      <c r="A463" s="565">
        <v>458</v>
      </c>
      <c r="B463" s="560" t="s">
        <v>278</v>
      </c>
      <c r="C463" s="560" t="s">
        <v>462</v>
      </c>
      <c r="D463" s="560" t="s">
        <v>294</v>
      </c>
      <c r="E463" s="560">
        <v>149</v>
      </c>
      <c r="F463" s="560">
        <v>3</v>
      </c>
      <c r="G463" s="560" t="s">
        <v>34</v>
      </c>
      <c r="H463" s="566">
        <v>1910.2564102564102</v>
      </c>
      <c r="I463" s="567" t="s">
        <v>489</v>
      </c>
      <c r="J463" s="568" t="s">
        <v>288</v>
      </c>
      <c r="L463" s="373">
        <v>1</v>
      </c>
    </row>
    <row r="464" spans="1:12" ht="21">
      <c r="A464" s="565">
        <v>459</v>
      </c>
      <c r="B464" s="560" t="s">
        <v>278</v>
      </c>
      <c r="C464" s="560" t="s">
        <v>462</v>
      </c>
      <c r="D464" s="560" t="s">
        <v>294</v>
      </c>
      <c r="E464" s="560">
        <v>159</v>
      </c>
      <c r="F464" s="560">
        <v>4</v>
      </c>
      <c r="G464" s="560" t="s">
        <v>34</v>
      </c>
      <c r="H464" s="566">
        <v>2038.4615384615386</v>
      </c>
      <c r="I464" s="567" t="s">
        <v>489</v>
      </c>
      <c r="J464" s="568" t="s">
        <v>501</v>
      </c>
      <c r="L464" s="373">
        <v>1</v>
      </c>
    </row>
    <row r="465" spans="1:12" ht="21">
      <c r="A465" s="565">
        <v>460</v>
      </c>
      <c r="B465" s="560" t="s">
        <v>278</v>
      </c>
      <c r="C465" s="560" t="s">
        <v>462</v>
      </c>
      <c r="D465" s="560" t="s">
        <v>291</v>
      </c>
      <c r="E465" s="560">
        <v>121</v>
      </c>
      <c r="F465" s="560">
        <v>5</v>
      </c>
      <c r="G465" s="560" t="s">
        <v>34</v>
      </c>
      <c r="H465" s="566">
        <v>1551.2820512820513</v>
      </c>
      <c r="I465" s="567" t="s">
        <v>489</v>
      </c>
      <c r="J465" s="568" t="s">
        <v>288</v>
      </c>
      <c r="L465" s="373">
        <v>1</v>
      </c>
    </row>
    <row r="466" spans="1:12" ht="21">
      <c r="A466" s="565">
        <v>461</v>
      </c>
      <c r="B466" s="560" t="s">
        <v>278</v>
      </c>
      <c r="C466" s="560" t="s">
        <v>462</v>
      </c>
      <c r="D466" s="560" t="s">
        <v>291</v>
      </c>
      <c r="E466" s="560">
        <v>117</v>
      </c>
      <c r="F466" s="560">
        <v>3</v>
      </c>
      <c r="G466" s="560" t="s">
        <v>34</v>
      </c>
      <c r="H466" s="566">
        <v>1500</v>
      </c>
      <c r="I466" s="567" t="s">
        <v>489</v>
      </c>
      <c r="J466" s="568" t="s">
        <v>288</v>
      </c>
      <c r="L466" s="373">
        <v>1</v>
      </c>
    </row>
    <row r="467" spans="1:12" ht="21">
      <c r="A467" s="565">
        <v>462</v>
      </c>
      <c r="B467" s="560" t="s">
        <v>278</v>
      </c>
      <c r="C467" s="560" t="s">
        <v>462</v>
      </c>
      <c r="D467" s="560" t="s">
        <v>294</v>
      </c>
      <c r="E467" s="560">
        <v>132</v>
      </c>
      <c r="F467" s="560">
        <v>4</v>
      </c>
      <c r="G467" s="560" t="str">
        <f>G460</f>
        <v>prąd</v>
      </c>
      <c r="H467" s="566">
        <v>26400</v>
      </c>
      <c r="I467" s="567" t="s">
        <v>489</v>
      </c>
      <c r="J467" s="568" t="s">
        <v>474</v>
      </c>
      <c r="L467" s="373">
        <v>1</v>
      </c>
    </row>
    <row r="468" spans="1:12">
      <c r="A468" s="565">
        <v>463</v>
      </c>
      <c r="B468" s="560" t="s">
        <v>278</v>
      </c>
      <c r="C468" s="560" t="s">
        <v>462</v>
      </c>
      <c r="D468" s="560" t="s">
        <v>292</v>
      </c>
      <c r="E468" s="560">
        <v>121</v>
      </c>
      <c r="F468" s="560">
        <v>3</v>
      </c>
      <c r="G468" s="560" t="s">
        <v>286</v>
      </c>
      <c r="H468" s="566">
        <v>3.394109396914446</v>
      </c>
      <c r="I468" s="567" t="s">
        <v>288</v>
      </c>
      <c r="J468" s="568" t="s">
        <v>288</v>
      </c>
      <c r="L468" s="373">
        <v>1</v>
      </c>
    </row>
    <row r="469" spans="1:12">
      <c r="A469" s="565">
        <v>464</v>
      </c>
      <c r="B469" s="560" t="s">
        <v>278</v>
      </c>
      <c r="C469" s="560" t="s">
        <v>462</v>
      </c>
      <c r="D469" s="560" t="s">
        <v>291</v>
      </c>
      <c r="E469" s="560">
        <v>153</v>
      </c>
      <c r="F469" s="560">
        <v>5</v>
      </c>
      <c r="G469" s="560" t="s">
        <v>34</v>
      </c>
      <c r="H469" s="566">
        <v>1961.5384615384614</v>
      </c>
      <c r="I469" s="567" t="s">
        <v>464</v>
      </c>
      <c r="J469" s="568" t="s">
        <v>288</v>
      </c>
      <c r="L469" s="373">
        <v>1</v>
      </c>
    </row>
    <row r="470" spans="1:12" ht="21">
      <c r="A470" s="565">
        <v>465</v>
      </c>
      <c r="B470" s="560" t="s">
        <v>278</v>
      </c>
      <c r="C470" s="560" t="s">
        <v>462</v>
      </c>
      <c r="D470" s="560" t="s">
        <v>293</v>
      </c>
      <c r="E470" s="560">
        <v>132</v>
      </c>
      <c r="F470" s="560">
        <v>2</v>
      </c>
      <c r="G470" s="560" t="s">
        <v>34</v>
      </c>
      <c r="H470" s="566">
        <v>1692.3076923076924</v>
      </c>
      <c r="I470" s="567" t="s">
        <v>489</v>
      </c>
      <c r="J470" s="568" t="s">
        <v>288</v>
      </c>
      <c r="L470" s="373">
        <v>1</v>
      </c>
    </row>
    <row r="471" spans="1:12">
      <c r="A471" s="565">
        <v>466</v>
      </c>
      <c r="B471" s="560" t="s">
        <v>278</v>
      </c>
      <c r="C471" s="560" t="s">
        <v>462</v>
      </c>
      <c r="D471" s="560" t="s">
        <v>291</v>
      </c>
      <c r="E471" s="560">
        <v>101</v>
      </c>
      <c r="F471" s="560">
        <v>3</v>
      </c>
      <c r="G471" s="560" t="s">
        <v>34</v>
      </c>
      <c r="H471" s="566">
        <v>1294.8717948717949</v>
      </c>
      <c r="I471" s="567" t="s">
        <v>499</v>
      </c>
      <c r="J471" s="568" t="s">
        <v>288</v>
      </c>
      <c r="L471" s="373">
        <v>1</v>
      </c>
    </row>
    <row r="472" spans="1:12" ht="21">
      <c r="A472" s="565">
        <v>467</v>
      </c>
      <c r="B472" s="560" t="s">
        <v>278</v>
      </c>
      <c r="C472" s="560" t="s">
        <v>462</v>
      </c>
      <c r="D472" s="561" t="s">
        <v>291</v>
      </c>
      <c r="E472" s="560">
        <v>117</v>
      </c>
      <c r="F472" s="560">
        <v>3</v>
      </c>
      <c r="G472" s="560" t="s">
        <v>34</v>
      </c>
      <c r="H472" s="566">
        <v>1500</v>
      </c>
      <c r="I472" s="567" t="s">
        <v>288</v>
      </c>
      <c r="J472" s="568" t="s">
        <v>506</v>
      </c>
      <c r="L472" s="373">
        <v>1</v>
      </c>
    </row>
    <row r="473" spans="1:12" ht="21">
      <c r="A473" s="565">
        <v>468</v>
      </c>
      <c r="B473" s="560" t="s">
        <v>278</v>
      </c>
      <c r="C473" s="560" t="s">
        <v>462</v>
      </c>
      <c r="D473" s="560" t="s">
        <v>291</v>
      </c>
      <c r="E473" s="560">
        <v>116</v>
      </c>
      <c r="F473" s="560">
        <v>4</v>
      </c>
      <c r="G473" s="560" t="s">
        <v>34</v>
      </c>
      <c r="H473" s="566">
        <v>1487.1794871794871</v>
      </c>
      <c r="I473" s="567" t="s">
        <v>489</v>
      </c>
      <c r="J473" s="568" t="s">
        <v>288</v>
      </c>
      <c r="L473" s="373">
        <v>1</v>
      </c>
    </row>
    <row r="474" spans="1:12" ht="21">
      <c r="A474" s="565">
        <v>469</v>
      </c>
      <c r="B474" s="560" t="s">
        <v>278</v>
      </c>
      <c r="C474" s="560" t="s">
        <v>462</v>
      </c>
      <c r="D474" s="560" t="s">
        <v>294</v>
      </c>
      <c r="E474" s="560">
        <v>146</v>
      </c>
      <c r="F474" s="560">
        <v>4</v>
      </c>
      <c r="G474" s="560" t="s">
        <v>34</v>
      </c>
      <c r="H474" s="566">
        <v>1871.7948717948718</v>
      </c>
      <c r="I474" s="567" t="s">
        <v>489</v>
      </c>
      <c r="J474" s="568" t="s">
        <v>288</v>
      </c>
      <c r="L474" s="373">
        <v>1</v>
      </c>
    </row>
    <row r="475" spans="1:12" ht="21">
      <c r="A475" s="565">
        <v>470</v>
      </c>
      <c r="B475" s="560" t="s">
        <v>278</v>
      </c>
      <c r="C475" s="560" t="s">
        <v>462</v>
      </c>
      <c r="D475" s="560" t="s">
        <v>294</v>
      </c>
      <c r="E475" s="560">
        <v>132</v>
      </c>
      <c r="F475" s="560">
        <v>3</v>
      </c>
      <c r="G475" s="560" t="s">
        <v>34</v>
      </c>
      <c r="H475" s="566">
        <v>1692.3076923076924</v>
      </c>
      <c r="I475" s="567" t="s">
        <v>489</v>
      </c>
      <c r="J475" s="568" t="s">
        <v>288</v>
      </c>
      <c r="L475" s="373">
        <v>1</v>
      </c>
    </row>
    <row r="476" spans="1:12" ht="21">
      <c r="A476" s="565">
        <v>471</v>
      </c>
      <c r="B476" s="560" t="s">
        <v>278</v>
      </c>
      <c r="C476" s="560" t="s">
        <v>462</v>
      </c>
      <c r="D476" s="560" t="s">
        <v>291</v>
      </c>
      <c r="E476" s="560">
        <v>121</v>
      </c>
      <c r="F476" s="560">
        <v>5</v>
      </c>
      <c r="G476" s="560" t="s">
        <v>286</v>
      </c>
      <c r="H476" s="566">
        <v>3.394109396914446</v>
      </c>
      <c r="I476" s="567" t="s">
        <v>464</v>
      </c>
      <c r="J476" s="568" t="s">
        <v>506</v>
      </c>
      <c r="L476" s="373">
        <v>1</v>
      </c>
    </row>
    <row r="477" spans="1:12" ht="21">
      <c r="A477" s="565">
        <v>472</v>
      </c>
      <c r="B477" s="560" t="s">
        <v>278</v>
      </c>
      <c r="C477" s="560" t="s">
        <v>462</v>
      </c>
      <c r="D477" s="560" t="s">
        <v>291</v>
      </c>
      <c r="E477" s="560">
        <v>119</v>
      </c>
      <c r="F477" s="560">
        <v>5</v>
      </c>
      <c r="G477" s="560" t="s">
        <v>286</v>
      </c>
      <c r="H477" s="566">
        <v>3.3380084151472653</v>
      </c>
      <c r="I477" s="567" t="s">
        <v>464</v>
      </c>
      <c r="J477" s="568" t="s">
        <v>506</v>
      </c>
      <c r="L477" s="373">
        <v>1</v>
      </c>
    </row>
    <row r="478" spans="1:12" ht="21">
      <c r="A478" s="565">
        <v>473</v>
      </c>
      <c r="B478" s="560" t="s">
        <v>278</v>
      </c>
      <c r="C478" s="560" t="s">
        <v>462</v>
      </c>
      <c r="D478" s="560" t="s">
        <v>294</v>
      </c>
      <c r="E478" s="560">
        <v>131</v>
      </c>
      <c r="F478" s="560">
        <v>3</v>
      </c>
      <c r="G478" s="560" t="s">
        <v>286</v>
      </c>
      <c r="H478" s="566">
        <v>3.6746143057503509</v>
      </c>
      <c r="I478" s="567" t="s">
        <v>489</v>
      </c>
      <c r="J478" s="568" t="s">
        <v>288</v>
      </c>
      <c r="L478" s="373">
        <v>1</v>
      </c>
    </row>
    <row r="479" spans="1:12" ht="21">
      <c r="A479" s="565">
        <v>474</v>
      </c>
      <c r="B479" s="560" t="s">
        <v>278</v>
      </c>
      <c r="C479" s="560" t="s">
        <v>462</v>
      </c>
      <c r="D479" s="560" t="s">
        <v>293</v>
      </c>
      <c r="E479" s="560">
        <v>152</v>
      </c>
      <c r="F479" s="560">
        <v>4</v>
      </c>
      <c r="G479" s="560" t="s">
        <v>286</v>
      </c>
      <c r="H479" s="566">
        <v>4.2636746143057502</v>
      </c>
      <c r="I479" s="567" t="s">
        <v>489</v>
      </c>
      <c r="J479" s="568" t="s">
        <v>288</v>
      </c>
      <c r="L479" s="373">
        <v>1</v>
      </c>
    </row>
    <row r="480" spans="1:12" ht="21">
      <c r="A480" s="565">
        <v>475</v>
      </c>
      <c r="B480" s="560" t="s">
        <v>278</v>
      </c>
      <c r="C480" s="560" t="s">
        <v>462</v>
      </c>
      <c r="D480" s="560" t="s">
        <v>291</v>
      </c>
      <c r="E480" s="560">
        <v>118</v>
      </c>
      <c r="F480" s="560">
        <v>3</v>
      </c>
      <c r="G480" s="560" t="s">
        <v>286</v>
      </c>
      <c r="H480" s="566">
        <v>3.3099579242636747</v>
      </c>
      <c r="I480" s="567" t="s">
        <v>489</v>
      </c>
      <c r="J480" s="568" t="s">
        <v>288</v>
      </c>
      <c r="L480" s="373">
        <v>1</v>
      </c>
    </row>
    <row r="481" spans="1:12" ht="21">
      <c r="A481" s="565">
        <v>476</v>
      </c>
      <c r="B481" s="560" t="s">
        <v>278</v>
      </c>
      <c r="C481" s="560" t="s">
        <v>462</v>
      </c>
      <c r="D481" s="560" t="s">
        <v>291</v>
      </c>
      <c r="E481" s="560">
        <v>147</v>
      </c>
      <c r="F481" s="560">
        <v>5</v>
      </c>
      <c r="G481" s="560" t="s">
        <v>286</v>
      </c>
      <c r="H481" s="566">
        <v>4.1234221598877978</v>
      </c>
      <c r="I481" s="567" t="s">
        <v>489</v>
      </c>
      <c r="J481" s="568" t="s">
        <v>288</v>
      </c>
      <c r="L481" s="373">
        <v>1</v>
      </c>
    </row>
    <row r="482" spans="1:12">
      <c r="A482" s="565">
        <v>477</v>
      </c>
      <c r="B482" s="560" t="s">
        <v>278</v>
      </c>
      <c r="C482" s="560" t="s">
        <v>462</v>
      </c>
      <c r="D482" s="560" t="s">
        <v>291</v>
      </c>
      <c r="E482" s="560">
        <v>183</v>
      </c>
      <c r="F482" s="560">
        <v>8</v>
      </c>
      <c r="G482" s="560" t="s">
        <v>34</v>
      </c>
      <c r="H482" s="566">
        <v>2346.1538461538462</v>
      </c>
      <c r="I482" s="567" t="s">
        <v>499</v>
      </c>
      <c r="J482" s="568" t="s">
        <v>288</v>
      </c>
      <c r="L482" s="373">
        <v>1</v>
      </c>
    </row>
    <row r="483" spans="1:12">
      <c r="A483" s="565">
        <v>478</v>
      </c>
      <c r="B483" s="560" t="s">
        <v>278</v>
      </c>
      <c r="C483" s="560" t="s">
        <v>462</v>
      </c>
      <c r="D483" s="560" t="s">
        <v>293</v>
      </c>
      <c r="E483" s="560">
        <v>173</v>
      </c>
      <c r="F483" s="560">
        <v>7</v>
      </c>
      <c r="G483" s="560" t="s">
        <v>34</v>
      </c>
      <c r="H483" s="566">
        <v>2217.9487179487178</v>
      </c>
      <c r="I483" s="567" t="s">
        <v>499</v>
      </c>
      <c r="J483" s="568" t="s">
        <v>288</v>
      </c>
      <c r="L483" s="373">
        <v>1</v>
      </c>
    </row>
    <row r="484" spans="1:12" ht="21">
      <c r="A484" s="565">
        <v>479</v>
      </c>
      <c r="B484" s="560" t="s">
        <v>278</v>
      </c>
      <c r="C484" s="560" t="s">
        <v>462</v>
      </c>
      <c r="D484" s="560" t="s">
        <v>291</v>
      </c>
      <c r="E484" s="560">
        <v>122</v>
      </c>
      <c r="F484" s="560">
        <v>4</v>
      </c>
      <c r="G484" s="560" t="s">
        <v>34</v>
      </c>
      <c r="H484" s="566">
        <v>1564.1025641025642</v>
      </c>
      <c r="I484" s="567" t="s">
        <v>464</v>
      </c>
      <c r="J484" s="568" t="s">
        <v>506</v>
      </c>
      <c r="L484" s="373">
        <v>1</v>
      </c>
    </row>
    <row r="485" spans="1:12" ht="21">
      <c r="A485" s="565">
        <v>480</v>
      </c>
      <c r="B485" s="560" t="s">
        <v>278</v>
      </c>
      <c r="C485" s="560" t="s">
        <v>462</v>
      </c>
      <c r="D485" s="560" t="s">
        <v>291</v>
      </c>
      <c r="E485" s="560">
        <v>121</v>
      </c>
      <c r="F485" s="560">
        <v>5</v>
      </c>
      <c r="G485" s="560" t="s">
        <v>34</v>
      </c>
      <c r="H485" s="566">
        <v>1551.2820512820513</v>
      </c>
      <c r="I485" s="567" t="s">
        <v>489</v>
      </c>
      <c r="J485" s="568" t="s">
        <v>288</v>
      </c>
      <c r="L485" s="373">
        <v>1</v>
      </c>
    </row>
    <row r="486" spans="1:12" ht="21">
      <c r="A486" s="565">
        <v>481</v>
      </c>
      <c r="B486" s="560" t="s">
        <v>278</v>
      </c>
      <c r="C486" s="560" t="s">
        <v>462</v>
      </c>
      <c r="D486" s="560" t="s">
        <v>293</v>
      </c>
      <c r="E486" s="560">
        <v>148</v>
      </c>
      <c r="F486" s="560">
        <v>4</v>
      </c>
      <c r="G486" s="560" t="s">
        <v>34</v>
      </c>
      <c r="H486" s="566">
        <v>1897.4358974358975</v>
      </c>
      <c r="I486" s="567" t="s">
        <v>489</v>
      </c>
      <c r="J486" s="568" t="s">
        <v>288</v>
      </c>
      <c r="L486" s="373">
        <v>1</v>
      </c>
    </row>
    <row r="487" spans="1:12" ht="21">
      <c r="A487" s="565">
        <v>482</v>
      </c>
      <c r="B487" s="560" t="s">
        <v>278</v>
      </c>
      <c r="C487" s="560" t="s">
        <v>462</v>
      </c>
      <c r="D487" s="560" t="s">
        <v>291</v>
      </c>
      <c r="E487" s="560">
        <v>176</v>
      </c>
      <c r="F487" s="560">
        <v>6</v>
      </c>
      <c r="G487" s="560" t="s">
        <v>34</v>
      </c>
      <c r="H487" s="566">
        <v>2256.4102564102564</v>
      </c>
      <c r="I487" s="567" t="s">
        <v>489</v>
      </c>
      <c r="J487" s="568" t="s">
        <v>288</v>
      </c>
      <c r="L487" s="373">
        <v>1</v>
      </c>
    </row>
    <row r="488" spans="1:12" ht="21">
      <c r="A488" s="565">
        <v>483</v>
      </c>
      <c r="B488" s="560" t="s">
        <v>278</v>
      </c>
      <c r="C488" s="560" t="s">
        <v>462</v>
      </c>
      <c r="D488" s="560" t="s">
        <v>291</v>
      </c>
      <c r="E488" s="560">
        <v>139</v>
      </c>
      <c r="F488" s="560">
        <v>4</v>
      </c>
      <c r="G488" s="560" t="s">
        <v>34</v>
      </c>
      <c r="H488" s="566">
        <v>1782.051282051282</v>
      </c>
      <c r="I488" s="567" t="s">
        <v>464</v>
      </c>
      <c r="J488" s="568" t="s">
        <v>506</v>
      </c>
      <c r="L488" s="373">
        <v>1</v>
      </c>
    </row>
    <row r="489" spans="1:12" ht="21">
      <c r="A489" s="565">
        <v>484</v>
      </c>
      <c r="B489" s="560" t="s">
        <v>278</v>
      </c>
      <c r="C489" s="560" t="s">
        <v>462</v>
      </c>
      <c r="D489" s="560" t="s">
        <v>293</v>
      </c>
      <c r="E489" s="560">
        <v>154</v>
      </c>
      <c r="F489" s="560">
        <v>3</v>
      </c>
      <c r="G489" s="560" t="s">
        <v>34</v>
      </c>
      <c r="H489" s="566">
        <v>1974.3589743589744</v>
      </c>
      <c r="I489" s="567" t="s">
        <v>489</v>
      </c>
      <c r="J489" s="568" t="s">
        <v>288</v>
      </c>
      <c r="L489" s="373">
        <v>1</v>
      </c>
    </row>
    <row r="490" spans="1:12" ht="21">
      <c r="A490" s="565">
        <v>485</v>
      </c>
      <c r="B490" s="560" t="s">
        <v>278</v>
      </c>
      <c r="C490" s="560" t="s">
        <v>462</v>
      </c>
      <c r="D490" s="560" t="s">
        <v>291</v>
      </c>
      <c r="E490" s="560">
        <v>167</v>
      </c>
      <c r="F490" s="560">
        <v>5</v>
      </c>
      <c r="G490" s="560" t="s">
        <v>34</v>
      </c>
      <c r="H490" s="566">
        <v>2141.0256410256411</v>
      </c>
      <c r="I490" s="567" t="s">
        <v>489</v>
      </c>
      <c r="J490" s="568" t="s">
        <v>288</v>
      </c>
      <c r="L490" s="373">
        <v>1</v>
      </c>
    </row>
    <row r="491" spans="1:12" ht="21">
      <c r="A491" s="565">
        <v>486</v>
      </c>
      <c r="B491" s="560" t="s">
        <v>278</v>
      </c>
      <c r="C491" s="560" t="s">
        <v>462</v>
      </c>
      <c r="D491" s="560" t="s">
        <v>293</v>
      </c>
      <c r="E491" s="560">
        <v>182</v>
      </c>
      <c r="F491" s="560">
        <v>6</v>
      </c>
      <c r="G491" s="560" t="s">
        <v>34</v>
      </c>
      <c r="H491" s="566">
        <v>2333.3333333333335</v>
      </c>
      <c r="I491" s="567" t="s">
        <v>489</v>
      </c>
      <c r="J491" s="568" t="s">
        <v>288</v>
      </c>
      <c r="L491" s="373">
        <v>1</v>
      </c>
    </row>
    <row r="492" spans="1:12">
      <c r="A492" s="565">
        <v>487</v>
      </c>
      <c r="B492" s="560" t="s">
        <v>277</v>
      </c>
      <c r="C492" s="560" t="s">
        <v>462</v>
      </c>
      <c r="D492" s="560" t="s">
        <v>293</v>
      </c>
      <c r="E492" s="560">
        <v>253</v>
      </c>
      <c r="F492" s="560">
        <v>9</v>
      </c>
      <c r="G492" s="560" t="s">
        <v>34</v>
      </c>
      <c r="H492" s="566">
        <v>3243.5897435897436</v>
      </c>
      <c r="I492" s="567" t="s">
        <v>499</v>
      </c>
      <c r="J492" s="568" t="s">
        <v>288</v>
      </c>
      <c r="L492" s="373">
        <v>1</v>
      </c>
    </row>
    <row r="493" spans="1:12">
      <c r="A493" s="565">
        <v>488</v>
      </c>
      <c r="B493" s="560" t="s">
        <v>278</v>
      </c>
      <c r="C493" s="560" t="s">
        <v>462</v>
      </c>
      <c r="D493" s="560" t="s">
        <v>291</v>
      </c>
      <c r="E493" s="560">
        <v>167</v>
      </c>
      <c r="F493" s="560">
        <v>5</v>
      </c>
      <c r="G493" s="560" t="s">
        <v>34</v>
      </c>
      <c r="H493" s="566">
        <v>2141.0256410256411</v>
      </c>
      <c r="I493" s="567" t="s">
        <v>499</v>
      </c>
      <c r="J493" s="568" t="s">
        <v>288</v>
      </c>
      <c r="L493" s="373">
        <v>1</v>
      </c>
    </row>
    <row r="494" spans="1:12">
      <c r="A494" s="565">
        <v>489</v>
      </c>
      <c r="B494" s="560" t="s">
        <v>278</v>
      </c>
      <c r="C494" s="560" t="s">
        <v>462</v>
      </c>
      <c r="D494" s="560" t="s">
        <v>291</v>
      </c>
      <c r="E494" s="560">
        <v>148</v>
      </c>
      <c r="F494" s="560">
        <v>3</v>
      </c>
      <c r="G494" s="560" t="s">
        <v>34</v>
      </c>
      <c r="H494" s="566">
        <v>1897.4358974358975</v>
      </c>
      <c r="I494" s="567" t="s">
        <v>464</v>
      </c>
      <c r="J494" s="568" t="s">
        <v>288</v>
      </c>
      <c r="L494" s="373">
        <v>1</v>
      </c>
    </row>
    <row r="495" spans="1:12">
      <c r="A495" s="565">
        <v>490</v>
      </c>
      <c r="B495" s="560" t="s">
        <v>278</v>
      </c>
      <c r="C495" s="560" t="s">
        <v>462</v>
      </c>
      <c r="D495" s="560" t="s">
        <v>291</v>
      </c>
      <c r="E495" s="560">
        <v>153</v>
      </c>
      <c r="F495" s="560">
        <v>4</v>
      </c>
      <c r="G495" s="560" t="s">
        <v>34</v>
      </c>
      <c r="H495" s="566">
        <v>1961.5384615384614</v>
      </c>
      <c r="I495" s="567" t="s">
        <v>499</v>
      </c>
      <c r="J495" s="568" t="s">
        <v>288</v>
      </c>
      <c r="L495" s="373">
        <v>1</v>
      </c>
    </row>
    <row r="496" spans="1:12">
      <c r="A496" s="565">
        <v>491</v>
      </c>
      <c r="B496" s="560" t="s">
        <v>278</v>
      </c>
      <c r="C496" s="560" t="s">
        <v>462</v>
      </c>
      <c r="D496" s="560" t="s">
        <v>293</v>
      </c>
      <c r="E496" s="560">
        <v>169</v>
      </c>
      <c r="F496" s="560">
        <v>6</v>
      </c>
      <c r="G496" s="560" t="s">
        <v>34</v>
      </c>
      <c r="H496" s="566">
        <v>2166.6666666666665</v>
      </c>
      <c r="I496" s="567" t="s">
        <v>499</v>
      </c>
      <c r="J496" s="568" t="s">
        <v>288</v>
      </c>
      <c r="L496" s="373">
        <v>1</v>
      </c>
    </row>
    <row r="497" spans="1:12">
      <c r="A497" s="565">
        <v>492</v>
      </c>
      <c r="B497" s="560" t="s">
        <v>278</v>
      </c>
      <c r="C497" s="560" t="s">
        <v>462</v>
      </c>
      <c r="D497" s="560" t="s">
        <v>291</v>
      </c>
      <c r="E497" s="560">
        <v>139</v>
      </c>
      <c r="F497" s="560">
        <v>3</v>
      </c>
      <c r="G497" s="560" t="s">
        <v>286</v>
      </c>
      <c r="H497" s="566">
        <v>3.8990182328190746</v>
      </c>
      <c r="I497" s="567" t="s">
        <v>288</v>
      </c>
      <c r="J497" s="568" t="s">
        <v>288</v>
      </c>
      <c r="L497" s="373">
        <v>1</v>
      </c>
    </row>
    <row r="498" spans="1:12">
      <c r="A498" s="565">
        <v>493</v>
      </c>
      <c r="B498" s="560" t="s">
        <v>278</v>
      </c>
      <c r="C498" s="560" t="s">
        <v>462</v>
      </c>
      <c r="D498" s="560" t="s">
        <v>291</v>
      </c>
      <c r="E498" s="560">
        <v>141</v>
      </c>
      <c r="F498" s="560">
        <v>4</v>
      </c>
      <c r="G498" s="560" t="s">
        <v>34</v>
      </c>
      <c r="H498" s="566">
        <v>1807.6923076923076</v>
      </c>
      <c r="I498" s="567" t="s">
        <v>464</v>
      </c>
      <c r="J498" s="568" t="s">
        <v>288</v>
      </c>
      <c r="L498" s="373">
        <v>1</v>
      </c>
    </row>
    <row r="499" spans="1:12" ht="21">
      <c r="A499" s="565">
        <v>494</v>
      </c>
      <c r="B499" s="560" t="s">
        <v>278</v>
      </c>
      <c r="C499" s="560" t="s">
        <v>462</v>
      </c>
      <c r="D499" s="560" t="s">
        <v>291</v>
      </c>
      <c r="E499" s="560">
        <v>138</v>
      </c>
      <c r="F499" s="560">
        <v>5</v>
      </c>
      <c r="G499" s="560" t="s">
        <v>286</v>
      </c>
      <c r="H499" s="566">
        <v>3.870967741935484</v>
      </c>
      <c r="I499" s="567" t="s">
        <v>464</v>
      </c>
      <c r="J499" s="568" t="s">
        <v>506</v>
      </c>
      <c r="L499" s="373">
        <v>1</v>
      </c>
    </row>
    <row r="500" spans="1:12">
      <c r="A500" s="565">
        <v>495</v>
      </c>
      <c r="B500" s="560" t="s">
        <v>278</v>
      </c>
      <c r="C500" s="560" t="s">
        <v>462</v>
      </c>
      <c r="D500" s="560" t="s">
        <v>291</v>
      </c>
      <c r="E500" s="560">
        <v>152</v>
      </c>
      <c r="F500" s="560">
        <v>4</v>
      </c>
      <c r="G500" s="560" t="s">
        <v>286</v>
      </c>
      <c r="H500" s="566">
        <v>4.2636746143057502</v>
      </c>
      <c r="I500" s="567" t="s">
        <v>499</v>
      </c>
      <c r="J500" s="568" t="s">
        <v>288</v>
      </c>
      <c r="L500" s="373">
        <v>1</v>
      </c>
    </row>
    <row r="501" spans="1:12">
      <c r="A501" s="565">
        <v>496</v>
      </c>
      <c r="B501" s="560" t="s">
        <v>278</v>
      </c>
      <c r="C501" s="560" t="s">
        <v>462</v>
      </c>
      <c r="D501" s="560" t="s">
        <v>291</v>
      </c>
      <c r="E501" s="560">
        <v>159</v>
      </c>
      <c r="F501" s="560">
        <v>5</v>
      </c>
      <c r="G501" s="560" t="s">
        <v>286</v>
      </c>
      <c r="H501" s="566">
        <v>4.4600280504908838</v>
      </c>
      <c r="I501" s="567" t="s">
        <v>499</v>
      </c>
      <c r="J501" s="568" t="s">
        <v>288</v>
      </c>
      <c r="L501" s="373">
        <v>1</v>
      </c>
    </row>
    <row r="502" spans="1:12">
      <c r="A502" s="565">
        <v>497</v>
      </c>
      <c r="B502" s="560" t="s">
        <v>278</v>
      </c>
      <c r="C502" s="560" t="s">
        <v>462</v>
      </c>
      <c r="D502" s="560" t="s">
        <v>292</v>
      </c>
      <c r="E502" s="560">
        <v>98</v>
      </c>
      <c r="F502" s="560">
        <v>3</v>
      </c>
      <c r="G502" s="560" t="s">
        <v>286</v>
      </c>
      <c r="H502" s="566">
        <v>2.7489481065918655</v>
      </c>
      <c r="I502" s="567" t="s">
        <v>288</v>
      </c>
      <c r="J502" s="568" t="s">
        <v>288</v>
      </c>
      <c r="L502" s="373">
        <v>1</v>
      </c>
    </row>
    <row r="503" spans="1:12">
      <c r="A503" s="565">
        <v>498</v>
      </c>
      <c r="B503" s="560" t="s">
        <v>278</v>
      </c>
      <c r="C503" s="560" t="s">
        <v>462</v>
      </c>
      <c r="D503" s="560" t="s">
        <v>292</v>
      </c>
      <c r="E503" s="560">
        <v>171</v>
      </c>
      <c r="F503" s="560">
        <v>5</v>
      </c>
      <c r="G503" s="560" t="s">
        <v>286</v>
      </c>
      <c r="H503" s="566">
        <v>4.7966339410939689</v>
      </c>
      <c r="I503" s="567" t="s">
        <v>288</v>
      </c>
      <c r="J503" s="568" t="s">
        <v>288</v>
      </c>
      <c r="L503" s="373">
        <v>1</v>
      </c>
    </row>
    <row r="504" spans="1:12">
      <c r="A504" s="565">
        <v>499</v>
      </c>
      <c r="B504" s="560" t="s">
        <v>278</v>
      </c>
      <c r="C504" s="560" t="s">
        <v>462</v>
      </c>
      <c r="D504" s="560" t="s">
        <v>292</v>
      </c>
      <c r="E504" s="560">
        <v>121</v>
      </c>
      <c r="F504" s="560">
        <v>3</v>
      </c>
      <c r="G504" s="560" t="s">
        <v>286</v>
      </c>
      <c r="H504" s="566">
        <v>3.394109396914446</v>
      </c>
      <c r="I504" s="567" t="s">
        <v>288</v>
      </c>
      <c r="J504" s="568" t="s">
        <v>288</v>
      </c>
      <c r="L504" s="373">
        <v>1</v>
      </c>
    </row>
    <row r="505" spans="1:12" ht="21">
      <c r="A505" s="565">
        <v>500</v>
      </c>
      <c r="B505" s="560" t="s">
        <v>278</v>
      </c>
      <c r="C505" s="560" t="s">
        <v>462</v>
      </c>
      <c r="D505" s="560" t="s">
        <v>294</v>
      </c>
      <c r="E505" s="560">
        <v>173</v>
      </c>
      <c r="F505" s="560">
        <v>5</v>
      </c>
      <c r="G505" s="560" t="s">
        <v>286</v>
      </c>
      <c r="H505" s="566">
        <v>4.85273492286115</v>
      </c>
      <c r="I505" s="567" t="s">
        <v>489</v>
      </c>
      <c r="J505" s="568" t="s">
        <v>474</v>
      </c>
      <c r="L505" s="373">
        <v>1</v>
      </c>
    </row>
    <row r="506" spans="1:12" ht="21">
      <c r="A506" s="565">
        <v>501</v>
      </c>
      <c r="B506" s="560" t="s">
        <v>278</v>
      </c>
      <c r="C506" s="560" t="s">
        <v>462</v>
      </c>
      <c r="D506" s="560" t="s">
        <v>291</v>
      </c>
      <c r="E506" s="560">
        <v>119</v>
      </c>
      <c r="F506" s="560">
        <v>4</v>
      </c>
      <c r="G506" s="560" t="s">
        <v>34</v>
      </c>
      <c r="H506" s="566">
        <v>1525.6410256410256</v>
      </c>
      <c r="I506" s="567" t="s">
        <v>489</v>
      </c>
      <c r="J506" s="568" t="s">
        <v>288</v>
      </c>
      <c r="L506" s="373">
        <v>1</v>
      </c>
    </row>
    <row r="507" spans="1:12" ht="21">
      <c r="A507" s="565">
        <v>502</v>
      </c>
      <c r="B507" s="560" t="s">
        <v>278</v>
      </c>
      <c r="C507" s="560" t="s">
        <v>462</v>
      </c>
      <c r="D507" s="560" t="s">
        <v>291</v>
      </c>
      <c r="E507" s="560">
        <v>118</v>
      </c>
      <c r="F507" s="560">
        <v>3</v>
      </c>
      <c r="G507" s="560" t="s">
        <v>34</v>
      </c>
      <c r="H507" s="566">
        <v>1512.8205128205129</v>
      </c>
      <c r="I507" s="567" t="s">
        <v>489</v>
      </c>
      <c r="J507" s="568" t="s">
        <v>288</v>
      </c>
      <c r="L507" s="373">
        <v>1</v>
      </c>
    </row>
    <row r="508" spans="1:12">
      <c r="A508" s="565">
        <v>503</v>
      </c>
      <c r="B508" s="560" t="s">
        <v>278</v>
      </c>
      <c r="C508" s="560" t="s">
        <v>462</v>
      </c>
      <c r="D508" s="560" t="s">
        <v>292</v>
      </c>
      <c r="E508" s="560">
        <v>128</v>
      </c>
      <c r="F508" s="560">
        <v>2</v>
      </c>
      <c r="G508" s="560" t="s">
        <v>286</v>
      </c>
      <c r="H508" s="566">
        <v>3.5904628330995796</v>
      </c>
      <c r="I508" s="567" t="s">
        <v>288</v>
      </c>
      <c r="J508" s="568" t="s">
        <v>288</v>
      </c>
      <c r="L508" s="373">
        <v>1</v>
      </c>
    </row>
    <row r="509" spans="1:12" ht="21">
      <c r="A509" s="565">
        <v>504</v>
      </c>
      <c r="B509" s="560" t="s">
        <v>278</v>
      </c>
      <c r="C509" s="560" t="s">
        <v>462</v>
      </c>
      <c r="D509" s="560" t="s">
        <v>291</v>
      </c>
      <c r="E509" s="560">
        <v>147</v>
      </c>
      <c r="F509" s="560">
        <v>3</v>
      </c>
      <c r="G509" s="560" t="s">
        <v>34</v>
      </c>
      <c r="H509" s="566">
        <v>1884.6153846153845</v>
      </c>
      <c r="I509" s="567" t="s">
        <v>489</v>
      </c>
      <c r="J509" s="568" t="s">
        <v>288</v>
      </c>
      <c r="L509" s="373">
        <v>1</v>
      </c>
    </row>
    <row r="510" spans="1:12">
      <c r="A510" s="565">
        <v>505</v>
      </c>
      <c r="B510" s="560" t="s">
        <v>278</v>
      </c>
      <c r="C510" s="560" t="s">
        <v>462</v>
      </c>
      <c r="D510" s="560" t="s">
        <v>292</v>
      </c>
      <c r="E510" s="560">
        <v>112</v>
      </c>
      <c r="F510" s="560">
        <v>3</v>
      </c>
      <c r="G510" s="560" t="s">
        <v>286</v>
      </c>
      <c r="H510" s="566">
        <v>3.1416549789621318</v>
      </c>
      <c r="I510" s="567" t="s">
        <v>288</v>
      </c>
      <c r="J510" s="568" t="s">
        <v>288</v>
      </c>
      <c r="L510" s="373">
        <v>1</v>
      </c>
    </row>
    <row r="511" spans="1:12">
      <c r="A511" s="565">
        <v>506</v>
      </c>
      <c r="B511" s="560" t="s">
        <v>278</v>
      </c>
      <c r="C511" s="560" t="s">
        <v>462</v>
      </c>
      <c r="D511" s="560" t="s">
        <v>291</v>
      </c>
      <c r="E511" s="560">
        <v>115</v>
      </c>
      <c r="F511" s="560">
        <v>5</v>
      </c>
      <c r="G511" s="560" t="s">
        <v>34</v>
      </c>
      <c r="H511" s="566">
        <v>1474.3589743589744</v>
      </c>
      <c r="I511" s="567" t="s">
        <v>464</v>
      </c>
      <c r="J511" s="568" t="s">
        <v>288</v>
      </c>
      <c r="L511" s="373">
        <v>1</v>
      </c>
    </row>
    <row r="512" spans="1:12">
      <c r="A512" s="565">
        <v>507</v>
      </c>
      <c r="B512" s="560" t="s">
        <v>277</v>
      </c>
      <c r="C512" s="560" t="s">
        <v>462</v>
      </c>
      <c r="D512" s="560" t="s">
        <v>291</v>
      </c>
      <c r="E512" s="560">
        <v>360</v>
      </c>
      <c r="F512" s="560">
        <v>12</v>
      </c>
      <c r="G512" s="560" t="s">
        <v>34</v>
      </c>
      <c r="H512" s="566">
        <v>4615.3846153846152</v>
      </c>
      <c r="I512" s="567" t="s">
        <v>464</v>
      </c>
      <c r="J512" s="568" t="s">
        <v>288</v>
      </c>
      <c r="L512" s="373">
        <v>1</v>
      </c>
    </row>
    <row r="513" spans="1:12" ht="21">
      <c r="A513" s="565">
        <v>508</v>
      </c>
      <c r="B513" s="560" t="s">
        <v>278</v>
      </c>
      <c r="C513" s="560" t="s">
        <v>462</v>
      </c>
      <c r="D513" s="560" t="s">
        <v>293</v>
      </c>
      <c r="E513" s="560">
        <v>154</v>
      </c>
      <c r="F513" s="560">
        <v>4</v>
      </c>
      <c r="G513" s="560" t="s">
        <v>34</v>
      </c>
      <c r="H513" s="566">
        <v>1974.3589743589744</v>
      </c>
      <c r="I513" s="567" t="s">
        <v>489</v>
      </c>
      <c r="J513" s="568" t="s">
        <v>288</v>
      </c>
      <c r="L513" s="373">
        <v>1</v>
      </c>
    </row>
    <row r="514" spans="1:12">
      <c r="A514" s="565">
        <v>509</v>
      </c>
      <c r="B514" s="560" t="s">
        <v>278</v>
      </c>
      <c r="C514" s="560" t="s">
        <v>462</v>
      </c>
      <c r="D514" s="560" t="s">
        <v>291</v>
      </c>
      <c r="E514" s="560">
        <v>138</v>
      </c>
      <c r="F514" s="560">
        <v>3</v>
      </c>
      <c r="G514" s="560" t="s">
        <v>34</v>
      </c>
      <c r="H514" s="566">
        <v>1769.2307692307693</v>
      </c>
      <c r="I514" s="567" t="s">
        <v>464</v>
      </c>
      <c r="J514" s="568" t="s">
        <v>288</v>
      </c>
      <c r="L514" s="373">
        <v>1</v>
      </c>
    </row>
    <row r="515" spans="1:12" ht="21">
      <c r="A515" s="565">
        <v>510</v>
      </c>
      <c r="B515" s="560" t="s">
        <v>278</v>
      </c>
      <c r="C515" s="560" t="s">
        <v>462</v>
      </c>
      <c r="D515" s="560" t="s">
        <v>291</v>
      </c>
      <c r="E515" s="560">
        <v>145</v>
      </c>
      <c r="F515" s="560">
        <v>4</v>
      </c>
      <c r="G515" s="560" t="s">
        <v>286</v>
      </c>
      <c r="H515" s="566">
        <v>4.0673211781206176</v>
      </c>
      <c r="I515" s="567" t="s">
        <v>489</v>
      </c>
      <c r="J515" s="568" t="s">
        <v>288</v>
      </c>
      <c r="L515" s="373">
        <v>1</v>
      </c>
    </row>
    <row r="516" spans="1:12">
      <c r="A516" s="565">
        <v>511</v>
      </c>
      <c r="B516" s="560" t="s">
        <v>278</v>
      </c>
      <c r="C516" s="560" t="s">
        <v>462</v>
      </c>
      <c r="D516" s="560" t="s">
        <v>292</v>
      </c>
      <c r="E516" s="560">
        <v>173</v>
      </c>
      <c r="F516" s="560">
        <v>5</v>
      </c>
      <c r="G516" s="560" t="s">
        <v>286</v>
      </c>
      <c r="H516" s="566">
        <v>4.85273492286115</v>
      </c>
      <c r="I516" s="567" t="s">
        <v>288</v>
      </c>
      <c r="J516" s="568" t="s">
        <v>288</v>
      </c>
      <c r="L516" s="373">
        <v>1</v>
      </c>
    </row>
    <row r="517" spans="1:12" ht="21">
      <c r="A517" s="565">
        <v>512</v>
      </c>
      <c r="B517" s="560" t="s">
        <v>277</v>
      </c>
      <c r="C517" s="560" t="s">
        <v>462</v>
      </c>
      <c r="D517" s="560" t="s">
        <v>292</v>
      </c>
      <c r="E517" s="560">
        <v>224</v>
      </c>
      <c r="F517" s="560">
        <v>7</v>
      </c>
      <c r="G517" s="560" t="s">
        <v>286</v>
      </c>
      <c r="H517" s="566">
        <v>6.2833099579242635</v>
      </c>
      <c r="I517" s="567" t="s">
        <v>288</v>
      </c>
      <c r="J517" s="568" t="s">
        <v>496</v>
      </c>
      <c r="L517" s="373">
        <v>1</v>
      </c>
    </row>
    <row r="518" spans="1:12">
      <c r="A518" s="565">
        <v>513</v>
      </c>
      <c r="B518" s="560" t="s">
        <v>278</v>
      </c>
      <c r="C518" s="560" t="s">
        <v>462</v>
      </c>
      <c r="D518" s="560" t="s">
        <v>291</v>
      </c>
      <c r="E518" s="560">
        <v>168</v>
      </c>
      <c r="F518" s="560">
        <v>5</v>
      </c>
      <c r="G518" s="560" t="s">
        <v>286</v>
      </c>
      <c r="H518" s="566">
        <v>4.7124824684431976</v>
      </c>
      <c r="I518" s="567" t="s">
        <v>464</v>
      </c>
      <c r="J518" s="568" t="s">
        <v>288</v>
      </c>
      <c r="L518" s="373">
        <v>1</v>
      </c>
    </row>
    <row r="519" spans="1:12">
      <c r="A519" s="565">
        <v>514</v>
      </c>
      <c r="B519" s="560" t="s">
        <v>278</v>
      </c>
      <c r="C519" s="560" t="s">
        <v>462</v>
      </c>
      <c r="D519" s="560" t="s">
        <v>291</v>
      </c>
      <c r="E519" s="560">
        <v>127</v>
      </c>
      <c r="F519" s="560">
        <v>4</v>
      </c>
      <c r="G519" s="560" t="s">
        <v>286</v>
      </c>
      <c r="H519" s="566">
        <v>3.562412342215989</v>
      </c>
      <c r="I519" s="567" t="s">
        <v>288</v>
      </c>
      <c r="J519" s="568" t="s">
        <v>288</v>
      </c>
      <c r="L519" s="373">
        <v>1</v>
      </c>
    </row>
    <row r="520" spans="1:12">
      <c r="A520" s="565">
        <v>515</v>
      </c>
      <c r="B520" s="560" t="s">
        <v>278</v>
      </c>
      <c r="C520" s="560" t="s">
        <v>462</v>
      </c>
      <c r="D520" s="560" t="s">
        <v>291</v>
      </c>
      <c r="E520" s="560">
        <v>149</v>
      </c>
      <c r="F520" s="560">
        <v>3</v>
      </c>
      <c r="G520" s="560" t="s">
        <v>286</v>
      </c>
      <c r="H520" s="566">
        <v>4.179523141654979</v>
      </c>
      <c r="I520" s="567" t="s">
        <v>499</v>
      </c>
      <c r="J520" s="568" t="s">
        <v>288</v>
      </c>
      <c r="L520" s="373">
        <v>1</v>
      </c>
    </row>
    <row r="521" spans="1:12">
      <c r="A521" s="565">
        <v>516</v>
      </c>
      <c r="B521" s="560" t="s">
        <v>278</v>
      </c>
      <c r="C521" s="560" t="s">
        <v>462</v>
      </c>
      <c r="D521" s="560" t="s">
        <v>292</v>
      </c>
      <c r="E521" s="560">
        <v>132</v>
      </c>
      <c r="F521" s="560">
        <v>4</v>
      </c>
      <c r="G521" s="560" t="s">
        <v>286</v>
      </c>
      <c r="H521" s="566">
        <v>3.7026647966339414</v>
      </c>
      <c r="I521" s="567" t="s">
        <v>288</v>
      </c>
      <c r="J521" s="568" t="s">
        <v>288</v>
      </c>
      <c r="L521" s="373">
        <v>1</v>
      </c>
    </row>
    <row r="522" spans="1:12" ht="21">
      <c r="A522" s="565">
        <v>517</v>
      </c>
      <c r="B522" s="560" t="s">
        <v>278</v>
      </c>
      <c r="C522" s="560" t="s">
        <v>462</v>
      </c>
      <c r="D522" s="560" t="s">
        <v>292</v>
      </c>
      <c r="E522" s="560">
        <v>161</v>
      </c>
      <c r="F522" s="560">
        <v>3</v>
      </c>
      <c r="G522" s="560" t="s">
        <v>286</v>
      </c>
      <c r="H522" s="566">
        <v>4.5161290322580649</v>
      </c>
      <c r="I522" s="567" t="s">
        <v>489</v>
      </c>
      <c r="J522" s="568" t="s">
        <v>288</v>
      </c>
      <c r="L522" s="373">
        <v>1</v>
      </c>
    </row>
    <row r="523" spans="1:12">
      <c r="A523" s="565">
        <v>518</v>
      </c>
      <c r="B523" s="560" t="s">
        <v>278</v>
      </c>
      <c r="C523" s="560" t="s">
        <v>462</v>
      </c>
      <c r="D523" s="560" t="s">
        <v>291</v>
      </c>
      <c r="E523" s="560">
        <v>157</v>
      </c>
      <c r="F523" s="560">
        <v>5</v>
      </c>
      <c r="G523" s="560" t="s">
        <v>286</v>
      </c>
      <c r="H523" s="566">
        <v>4.4039270687237027</v>
      </c>
      <c r="I523" s="567" t="s">
        <v>499</v>
      </c>
      <c r="J523" s="568" t="s">
        <v>288</v>
      </c>
      <c r="L523" s="373">
        <v>1</v>
      </c>
    </row>
    <row r="524" spans="1:12" ht="21">
      <c r="A524" s="565">
        <v>519</v>
      </c>
      <c r="B524" s="560" t="s">
        <v>278</v>
      </c>
      <c r="C524" s="560" t="s">
        <v>462</v>
      </c>
      <c r="D524" s="560" t="s">
        <v>291</v>
      </c>
      <c r="E524" s="560">
        <v>145</v>
      </c>
      <c r="F524" s="560">
        <v>4</v>
      </c>
      <c r="G524" s="560" t="s">
        <v>286</v>
      </c>
      <c r="H524" s="566">
        <v>4.0673211781206176</v>
      </c>
      <c r="I524" s="567" t="s">
        <v>489</v>
      </c>
      <c r="J524" s="568" t="s">
        <v>288</v>
      </c>
      <c r="L524" s="373">
        <v>1</v>
      </c>
    </row>
    <row r="525" spans="1:12">
      <c r="A525" s="565">
        <v>520</v>
      </c>
      <c r="B525" s="560" t="s">
        <v>277</v>
      </c>
      <c r="C525" s="560" t="s">
        <v>462</v>
      </c>
      <c r="D525" s="560" t="s">
        <v>293</v>
      </c>
      <c r="E525" s="560">
        <v>278</v>
      </c>
      <c r="F525" s="560">
        <v>17</v>
      </c>
      <c r="G525" s="560" t="s">
        <v>286</v>
      </c>
      <c r="H525" s="566">
        <v>7.7980364656381491</v>
      </c>
      <c r="I525" s="567" t="s">
        <v>463</v>
      </c>
      <c r="J525" s="568" t="s">
        <v>288</v>
      </c>
      <c r="L525" s="373">
        <v>1</v>
      </c>
    </row>
    <row r="526" spans="1:12">
      <c r="A526" s="565">
        <v>521</v>
      </c>
      <c r="B526" s="560" t="s">
        <v>277</v>
      </c>
      <c r="C526" s="560" t="s">
        <v>462</v>
      </c>
      <c r="D526" s="560" t="s">
        <v>291</v>
      </c>
      <c r="E526" s="560">
        <v>250</v>
      </c>
      <c r="F526" s="560">
        <v>14</v>
      </c>
      <c r="G526" s="560" t="s">
        <v>286</v>
      </c>
      <c r="H526" s="566">
        <v>7.0126227208976157</v>
      </c>
      <c r="I526" s="567" t="s">
        <v>288</v>
      </c>
      <c r="J526" s="568" t="s">
        <v>288</v>
      </c>
      <c r="L526" s="373">
        <v>1</v>
      </c>
    </row>
    <row r="527" spans="1:12">
      <c r="A527" s="565">
        <v>522</v>
      </c>
      <c r="B527" s="560" t="s">
        <v>277</v>
      </c>
      <c r="C527" s="560" t="s">
        <v>462</v>
      </c>
      <c r="D527" s="560" t="s">
        <v>291</v>
      </c>
      <c r="E527" s="560">
        <v>279</v>
      </c>
      <c r="F527" s="560">
        <v>10</v>
      </c>
      <c r="G527" s="560" t="s">
        <v>286</v>
      </c>
      <c r="H527" s="566">
        <v>7.8260869565217392</v>
      </c>
      <c r="I527" s="567" t="s">
        <v>464</v>
      </c>
      <c r="J527" s="568" t="s">
        <v>288</v>
      </c>
      <c r="L527" s="373">
        <v>1</v>
      </c>
    </row>
    <row r="528" spans="1:12">
      <c r="A528" s="565">
        <v>523</v>
      </c>
      <c r="B528" s="560" t="s">
        <v>277</v>
      </c>
      <c r="C528" s="560" t="s">
        <v>462</v>
      </c>
      <c r="D528" s="560" t="s">
        <v>291</v>
      </c>
      <c r="E528" s="560">
        <v>394</v>
      </c>
      <c r="F528" s="560">
        <v>10</v>
      </c>
      <c r="G528" s="560" t="s">
        <v>286</v>
      </c>
      <c r="H528" s="566">
        <v>11.051893408134642</v>
      </c>
      <c r="I528" s="567" t="s">
        <v>464</v>
      </c>
      <c r="J528" s="568" t="s">
        <v>288</v>
      </c>
      <c r="L528" s="373">
        <v>1</v>
      </c>
    </row>
    <row r="529" spans="1:12">
      <c r="A529" s="565">
        <v>524</v>
      </c>
      <c r="B529" s="560" t="s">
        <v>277</v>
      </c>
      <c r="C529" s="560" t="s">
        <v>462</v>
      </c>
      <c r="D529" s="560" t="s">
        <v>291</v>
      </c>
      <c r="E529" s="560">
        <v>353</v>
      </c>
      <c r="F529" s="560">
        <v>11</v>
      </c>
      <c r="G529" s="560" t="s">
        <v>286</v>
      </c>
      <c r="H529" s="566">
        <v>9.9018232819074345</v>
      </c>
      <c r="I529" s="567" t="s">
        <v>464</v>
      </c>
      <c r="J529" s="568" t="s">
        <v>288</v>
      </c>
      <c r="L529" s="373">
        <v>1</v>
      </c>
    </row>
    <row r="530" spans="1:12">
      <c r="A530" s="565">
        <v>525</v>
      </c>
      <c r="B530" s="560" t="s">
        <v>277</v>
      </c>
      <c r="C530" s="560" t="s">
        <v>462</v>
      </c>
      <c r="D530" s="560" t="s">
        <v>291</v>
      </c>
      <c r="E530" s="560">
        <v>360</v>
      </c>
      <c r="F530" s="560">
        <v>12</v>
      </c>
      <c r="G530" s="560" t="s">
        <v>286</v>
      </c>
      <c r="H530" s="566">
        <v>10.098176718092567</v>
      </c>
      <c r="I530" s="567" t="s">
        <v>464</v>
      </c>
      <c r="J530" s="568" t="s">
        <v>288</v>
      </c>
      <c r="L530" s="373">
        <v>1</v>
      </c>
    </row>
    <row r="531" spans="1:12">
      <c r="A531" s="565">
        <v>526</v>
      </c>
      <c r="B531" s="560" t="s">
        <v>277</v>
      </c>
      <c r="C531" s="560" t="s">
        <v>462</v>
      </c>
      <c r="D531" s="560" t="s">
        <v>291</v>
      </c>
      <c r="E531" s="560">
        <v>390</v>
      </c>
      <c r="F531" s="560">
        <v>15</v>
      </c>
      <c r="G531" s="560" t="s">
        <v>286</v>
      </c>
      <c r="H531" s="566">
        <v>10.939691444600282</v>
      </c>
      <c r="I531" s="567" t="s">
        <v>464</v>
      </c>
      <c r="J531" s="568" t="s">
        <v>288</v>
      </c>
      <c r="L531" s="373">
        <v>1</v>
      </c>
    </row>
    <row r="532" spans="1:12">
      <c r="A532" s="565">
        <v>527</v>
      </c>
      <c r="B532" s="560" t="s">
        <v>277</v>
      </c>
      <c r="C532" s="560" t="s">
        <v>462</v>
      </c>
      <c r="D532" s="560" t="s">
        <v>291</v>
      </c>
      <c r="E532" s="560">
        <v>220</v>
      </c>
      <c r="F532" s="560">
        <v>19</v>
      </c>
      <c r="G532" s="560" t="s">
        <v>286</v>
      </c>
      <c r="H532" s="566">
        <v>6.1711079943899021</v>
      </c>
      <c r="I532" s="567" t="s">
        <v>464</v>
      </c>
      <c r="J532" s="568" t="s">
        <v>288</v>
      </c>
      <c r="L532" s="373">
        <v>1</v>
      </c>
    </row>
    <row r="533" spans="1:12">
      <c r="A533" s="565">
        <v>528</v>
      </c>
      <c r="B533" s="560" t="s">
        <v>277</v>
      </c>
      <c r="C533" s="560" t="s">
        <v>462</v>
      </c>
      <c r="D533" s="560" t="s">
        <v>291</v>
      </c>
      <c r="E533" s="560">
        <v>210</v>
      </c>
      <c r="F533" s="560">
        <v>10</v>
      </c>
      <c r="G533" s="560" t="s">
        <v>286</v>
      </c>
      <c r="H533" s="566">
        <v>5.8906030855539973</v>
      </c>
      <c r="I533" s="567" t="s">
        <v>464</v>
      </c>
      <c r="J533" s="568" t="s">
        <v>288</v>
      </c>
      <c r="L533" s="373">
        <v>1</v>
      </c>
    </row>
    <row r="534" spans="1:12">
      <c r="A534" s="565">
        <v>529</v>
      </c>
      <c r="B534" s="560" t="s">
        <v>277</v>
      </c>
      <c r="C534" s="560" t="s">
        <v>462</v>
      </c>
      <c r="D534" s="560" t="s">
        <v>291</v>
      </c>
      <c r="E534" s="560">
        <v>177</v>
      </c>
      <c r="F534" s="560">
        <v>11</v>
      </c>
      <c r="G534" s="560" t="s">
        <v>286</v>
      </c>
      <c r="H534" s="566">
        <v>4.9649368863955123</v>
      </c>
      <c r="I534" s="567" t="s">
        <v>464</v>
      </c>
      <c r="J534" s="568" t="s">
        <v>288</v>
      </c>
      <c r="L534" s="373">
        <v>1</v>
      </c>
    </row>
    <row r="535" spans="1:12">
      <c r="A535" s="565">
        <v>530</v>
      </c>
      <c r="B535" s="560" t="s">
        <v>277</v>
      </c>
      <c r="C535" s="560" t="s">
        <v>462</v>
      </c>
      <c r="D535" s="560" t="s">
        <v>291</v>
      </c>
      <c r="E535" s="560">
        <v>776</v>
      </c>
      <c r="F535" s="560">
        <v>21</v>
      </c>
      <c r="G535" s="560" t="s">
        <v>286</v>
      </c>
      <c r="H535" s="566">
        <v>21.767180925666199</v>
      </c>
      <c r="I535" s="567" t="s">
        <v>464</v>
      </c>
      <c r="J535" s="568" t="s">
        <v>288</v>
      </c>
      <c r="L535" s="373">
        <v>1</v>
      </c>
    </row>
    <row r="536" spans="1:12">
      <c r="A536" s="565">
        <v>531</v>
      </c>
      <c r="B536" s="560" t="s">
        <v>277</v>
      </c>
      <c r="C536" s="560" t="s">
        <v>462</v>
      </c>
      <c r="D536" s="560" t="s">
        <v>292</v>
      </c>
      <c r="E536" s="560">
        <v>405</v>
      </c>
      <c r="F536" s="560">
        <v>28</v>
      </c>
      <c r="G536" s="560" t="s">
        <v>286</v>
      </c>
      <c r="H536" s="566">
        <v>11.360448807854137</v>
      </c>
      <c r="I536" s="567" t="s">
        <v>464</v>
      </c>
      <c r="J536" s="568" t="s">
        <v>288</v>
      </c>
      <c r="L536" s="373">
        <v>1</v>
      </c>
    </row>
    <row r="537" spans="1:12">
      <c r="A537" s="565">
        <v>532</v>
      </c>
      <c r="B537" s="560" t="s">
        <v>277</v>
      </c>
      <c r="C537" s="560" t="s">
        <v>462</v>
      </c>
      <c r="D537" s="560" t="s">
        <v>291</v>
      </c>
      <c r="E537" s="560">
        <v>754</v>
      </c>
      <c r="F537" s="560">
        <v>31</v>
      </c>
      <c r="G537" s="560" t="s">
        <v>286</v>
      </c>
      <c r="H537" s="566">
        <v>21.150070126227209</v>
      </c>
      <c r="I537" s="567" t="s">
        <v>464</v>
      </c>
      <c r="J537" s="568" t="s">
        <v>288</v>
      </c>
      <c r="L537" s="373">
        <v>1</v>
      </c>
    </row>
    <row r="538" spans="1:12">
      <c r="A538" s="565">
        <v>533</v>
      </c>
      <c r="B538" s="560" t="s">
        <v>277</v>
      </c>
      <c r="C538" s="560" t="s">
        <v>462</v>
      </c>
      <c r="D538" s="560" t="s">
        <v>291</v>
      </c>
      <c r="E538" s="560">
        <v>714</v>
      </c>
      <c r="F538" s="560">
        <v>18</v>
      </c>
      <c r="G538" s="560" t="s">
        <v>286</v>
      </c>
      <c r="H538" s="566">
        <v>20.02805049088359</v>
      </c>
      <c r="I538" s="567" t="s">
        <v>464</v>
      </c>
      <c r="J538" s="568" t="s">
        <v>288</v>
      </c>
      <c r="L538" s="373">
        <v>1</v>
      </c>
    </row>
    <row r="539" spans="1:12">
      <c r="A539" s="565">
        <v>534</v>
      </c>
      <c r="B539" s="560" t="s">
        <v>277</v>
      </c>
      <c r="C539" s="560" t="s">
        <v>462</v>
      </c>
      <c r="D539" s="560" t="s">
        <v>291</v>
      </c>
      <c r="E539" s="560">
        <v>715</v>
      </c>
      <c r="F539" s="560">
        <v>21</v>
      </c>
      <c r="G539" s="560" t="s">
        <v>286</v>
      </c>
      <c r="H539" s="566">
        <v>20.05610098176718</v>
      </c>
      <c r="I539" s="567" t="s">
        <v>464</v>
      </c>
      <c r="J539" s="568" t="s">
        <v>288</v>
      </c>
      <c r="L539" s="373">
        <v>1</v>
      </c>
    </row>
    <row r="540" spans="1:12">
      <c r="A540" s="565">
        <v>535</v>
      </c>
      <c r="B540" s="560" t="s">
        <v>277</v>
      </c>
      <c r="C540" s="560" t="s">
        <v>462</v>
      </c>
      <c r="D540" s="560" t="s">
        <v>294</v>
      </c>
      <c r="E540" s="560">
        <v>289</v>
      </c>
      <c r="F540" s="560">
        <v>16</v>
      </c>
      <c r="G540" s="560" t="s">
        <v>286</v>
      </c>
      <c r="H540" s="566">
        <v>8.1065918653576432</v>
      </c>
      <c r="I540" s="567" t="s">
        <v>464</v>
      </c>
      <c r="J540" s="568" t="s">
        <v>288</v>
      </c>
      <c r="L540" s="373">
        <v>1</v>
      </c>
    </row>
    <row r="541" spans="1:12">
      <c r="A541" s="565">
        <v>536</v>
      </c>
      <c r="B541" s="560" t="s">
        <v>277</v>
      </c>
      <c r="C541" s="560" t="s">
        <v>462</v>
      </c>
      <c r="D541" s="560" t="s">
        <v>294</v>
      </c>
      <c r="E541" s="560">
        <v>300</v>
      </c>
      <c r="F541" s="560">
        <v>9</v>
      </c>
      <c r="G541" s="560" t="s">
        <v>286</v>
      </c>
      <c r="H541" s="566">
        <v>8.4151472650771399</v>
      </c>
      <c r="I541" s="567" t="s">
        <v>464</v>
      </c>
      <c r="J541" s="568" t="s">
        <v>288</v>
      </c>
      <c r="L541" s="373">
        <v>1</v>
      </c>
    </row>
    <row r="542" spans="1:12">
      <c r="A542" s="565">
        <v>537</v>
      </c>
      <c r="B542" s="560" t="s">
        <v>277</v>
      </c>
      <c r="C542" s="560" t="s">
        <v>462</v>
      </c>
      <c r="D542" s="560" t="s">
        <v>293</v>
      </c>
      <c r="E542" s="560">
        <v>150</v>
      </c>
      <c r="F542" s="560">
        <v>12</v>
      </c>
      <c r="G542" s="560" t="s">
        <v>286</v>
      </c>
      <c r="H542" s="566">
        <v>4.20757363253857</v>
      </c>
      <c r="I542" s="567" t="s">
        <v>464</v>
      </c>
      <c r="J542" s="568" t="s">
        <v>288</v>
      </c>
      <c r="L542" s="373">
        <v>1</v>
      </c>
    </row>
    <row r="543" spans="1:12">
      <c r="A543" s="565">
        <v>538</v>
      </c>
      <c r="B543" s="560" t="s">
        <v>277</v>
      </c>
      <c r="C543" s="560" t="s">
        <v>462</v>
      </c>
      <c r="D543" s="560" t="s">
        <v>293</v>
      </c>
      <c r="E543" s="560">
        <v>312</v>
      </c>
      <c r="F543" s="560">
        <v>9</v>
      </c>
      <c r="G543" s="560" t="s">
        <v>286</v>
      </c>
      <c r="H543" s="566">
        <v>8.751753155680225</v>
      </c>
      <c r="I543" s="567" t="s">
        <v>464</v>
      </c>
      <c r="J543" s="568" t="s">
        <v>288</v>
      </c>
      <c r="L543" s="373">
        <v>1</v>
      </c>
    </row>
    <row r="544" spans="1:12">
      <c r="A544" s="565">
        <v>539</v>
      </c>
      <c r="B544" s="560" t="s">
        <v>277</v>
      </c>
      <c r="C544" s="560" t="s">
        <v>462</v>
      </c>
      <c r="D544" s="560" t="s">
        <v>294</v>
      </c>
      <c r="E544" s="560">
        <v>391</v>
      </c>
      <c r="F544" s="560">
        <v>11</v>
      </c>
      <c r="G544" s="560" t="s">
        <v>286</v>
      </c>
      <c r="H544" s="566">
        <v>10.967741935483872</v>
      </c>
      <c r="I544" s="567" t="s">
        <v>464</v>
      </c>
      <c r="J544" s="568" t="s">
        <v>288</v>
      </c>
      <c r="L544" s="373">
        <v>1</v>
      </c>
    </row>
    <row r="545" spans="1:12">
      <c r="A545" s="565">
        <v>540</v>
      </c>
      <c r="B545" s="560" t="s">
        <v>277</v>
      </c>
      <c r="C545" s="560" t="s">
        <v>462</v>
      </c>
      <c r="D545" s="560" t="s">
        <v>293</v>
      </c>
      <c r="E545" s="560">
        <v>601</v>
      </c>
      <c r="F545" s="560">
        <v>22</v>
      </c>
      <c r="G545" s="560" t="s">
        <v>286</v>
      </c>
      <c r="H545" s="566">
        <v>16.85834502103787</v>
      </c>
      <c r="I545" s="567" t="s">
        <v>464</v>
      </c>
      <c r="J545" s="568" t="s">
        <v>288</v>
      </c>
      <c r="L545" s="373">
        <v>1</v>
      </c>
    </row>
    <row r="546" spans="1:12">
      <c r="A546" s="565">
        <v>541</v>
      </c>
      <c r="B546" s="560" t="s">
        <v>277</v>
      </c>
      <c r="C546" s="560" t="s">
        <v>462</v>
      </c>
      <c r="D546" s="560" t="s">
        <v>293</v>
      </c>
      <c r="E546" s="560">
        <v>314</v>
      </c>
      <c r="F546" s="560">
        <v>16</v>
      </c>
      <c r="G546" s="560" t="s">
        <v>286</v>
      </c>
      <c r="H546" s="566">
        <v>8.8078541374474053</v>
      </c>
      <c r="I546" s="567" t="s">
        <v>464</v>
      </c>
      <c r="J546" s="568" t="s">
        <v>288</v>
      </c>
      <c r="L546" s="373">
        <v>1</v>
      </c>
    </row>
    <row r="547" spans="1:12">
      <c r="A547" s="565">
        <v>542</v>
      </c>
      <c r="B547" s="560" t="s">
        <v>277</v>
      </c>
      <c r="C547" s="560" t="s">
        <v>462</v>
      </c>
      <c r="D547" s="560" t="s">
        <v>293</v>
      </c>
      <c r="E547" s="560">
        <v>210</v>
      </c>
      <c r="F547" s="560">
        <v>8</v>
      </c>
      <c r="G547" s="560" t="s">
        <v>286</v>
      </c>
      <c r="H547" s="566">
        <v>5.8906030855539973</v>
      </c>
      <c r="I547" s="567" t="s">
        <v>464</v>
      </c>
      <c r="J547" s="568" t="s">
        <v>288</v>
      </c>
      <c r="L547" s="373">
        <v>1</v>
      </c>
    </row>
    <row r="548" spans="1:12">
      <c r="A548" s="565">
        <v>543</v>
      </c>
      <c r="B548" s="560" t="s">
        <v>277</v>
      </c>
      <c r="C548" s="560" t="s">
        <v>462</v>
      </c>
      <c r="D548" s="560" t="s">
        <v>291</v>
      </c>
      <c r="E548" s="560">
        <v>312</v>
      </c>
      <c r="F548" s="560">
        <v>14</v>
      </c>
      <c r="G548" s="560" t="s">
        <v>286</v>
      </c>
      <c r="H548" s="566">
        <v>8.751753155680225</v>
      </c>
      <c r="I548" s="567" t="s">
        <v>464</v>
      </c>
      <c r="J548" s="568" t="s">
        <v>288</v>
      </c>
      <c r="L548" s="373">
        <v>1</v>
      </c>
    </row>
    <row r="549" spans="1:12">
      <c r="A549" s="565">
        <v>544</v>
      </c>
      <c r="B549" s="560" t="s">
        <v>277</v>
      </c>
      <c r="C549" s="560" t="s">
        <v>462</v>
      </c>
      <c r="D549" s="560" t="s">
        <v>293</v>
      </c>
      <c r="E549" s="560">
        <v>450</v>
      </c>
      <c r="F549" s="560">
        <v>16</v>
      </c>
      <c r="G549" s="560" t="s">
        <v>286</v>
      </c>
      <c r="H549" s="566">
        <v>12.622720897615709</v>
      </c>
      <c r="I549" s="567" t="s">
        <v>464</v>
      </c>
      <c r="J549" s="568" t="s">
        <v>288</v>
      </c>
      <c r="L549" s="373">
        <v>1</v>
      </c>
    </row>
    <row r="550" spans="1:12">
      <c r="A550" s="565">
        <v>545</v>
      </c>
      <c r="B550" s="560" t="s">
        <v>277</v>
      </c>
      <c r="C550" s="560" t="s">
        <v>462</v>
      </c>
      <c r="D550" s="560" t="s">
        <v>293</v>
      </c>
      <c r="E550" s="560">
        <v>692</v>
      </c>
      <c r="F550" s="560">
        <v>24</v>
      </c>
      <c r="G550" s="560" t="s">
        <v>286</v>
      </c>
      <c r="H550" s="566">
        <v>19.4109396914446</v>
      </c>
      <c r="I550" s="567" t="s">
        <v>464</v>
      </c>
      <c r="J550" s="568" t="s">
        <v>288</v>
      </c>
      <c r="L550" s="373">
        <v>1</v>
      </c>
    </row>
    <row r="551" spans="1:12">
      <c r="A551" s="565">
        <v>546</v>
      </c>
      <c r="B551" s="560" t="s">
        <v>277</v>
      </c>
      <c r="C551" s="560" t="s">
        <v>462</v>
      </c>
      <c r="D551" s="560" t="s">
        <v>291</v>
      </c>
      <c r="E551" s="560">
        <v>460</v>
      </c>
      <c r="F551" s="560">
        <v>18</v>
      </c>
      <c r="G551" s="560" t="s">
        <v>286</v>
      </c>
      <c r="H551" s="566">
        <v>12.903225806451614</v>
      </c>
      <c r="I551" s="567" t="s">
        <v>464</v>
      </c>
      <c r="J551" s="568" t="s">
        <v>288</v>
      </c>
      <c r="L551" s="373">
        <v>1</v>
      </c>
    </row>
    <row r="552" spans="1:12">
      <c r="A552" s="565">
        <v>547</v>
      </c>
      <c r="B552" s="560" t="s">
        <v>277</v>
      </c>
      <c r="C552" s="560" t="s">
        <v>462</v>
      </c>
      <c r="D552" s="560" t="s">
        <v>293</v>
      </c>
      <c r="E552" s="560">
        <v>466</v>
      </c>
      <c r="F552" s="560">
        <v>17</v>
      </c>
      <c r="G552" s="560" t="s">
        <v>286</v>
      </c>
      <c r="H552" s="566">
        <v>13.071528751753156</v>
      </c>
      <c r="I552" s="567" t="s">
        <v>464</v>
      </c>
      <c r="J552" s="568" t="s">
        <v>288</v>
      </c>
      <c r="L552" s="373">
        <v>1</v>
      </c>
    </row>
    <row r="553" spans="1:12">
      <c r="A553" s="565">
        <v>548</v>
      </c>
      <c r="B553" s="560" t="s">
        <v>277</v>
      </c>
      <c r="C553" s="560" t="s">
        <v>462</v>
      </c>
      <c r="D553" s="560" t="s">
        <v>293</v>
      </c>
      <c r="E553" s="560">
        <v>300</v>
      </c>
      <c r="F553" s="560">
        <v>10</v>
      </c>
      <c r="G553" s="560" t="s">
        <v>286</v>
      </c>
      <c r="H553" s="566">
        <v>8.4151472650771399</v>
      </c>
      <c r="I553" s="567" t="s">
        <v>464</v>
      </c>
      <c r="J553" s="568" t="s">
        <v>288</v>
      </c>
      <c r="L553" s="373">
        <v>1</v>
      </c>
    </row>
    <row r="554" spans="1:12">
      <c r="A554" s="565">
        <v>549</v>
      </c>
      <c r="B554" s="560" t="s">
        <v>277</v>
      </c>
      <c r="C554" s="560" t="s">
        <v>462</v>
      </c>
      <c r="D554" s="560" t="s">
        <v>293</v>
      </c>
      <c r="E554" s="560">
        <v>321</v>
      </c>
      <c r="F554" s="560">
        <v>8</v>
      </c>
      <c r="G554" s="560" t="s">
        <v>286</v>
      </c>
      <c r="H554" s="566">
        <v>9.0042075736325398</v>
      </c>
      <c r="I554" s="567" t="s">
        <v>464</v>
      </c>
      <c r="J554" s="568" t="s">
        <v>288</v>
      </c>
      <c r="L554" s="373">
        <v>1</v>
      </c>
    </row>
    <row r="555" spans="1:12">
      <c r="A555" s="565">
        <v>550</v>
      </c>
      <c r="B555" s="560" t="s">
        <v>277</v>
      </c>
      <c r="C555" s="560" t="s">
        <v>462</v>
      </c>
      <c r="D555" s="560" t="s">
        <v>294</v>
      </c>
      <c r="E555" s="560">
        <v>355</v>
      </c>
      <c r="F555" s="560">
        <v>27</v>
      </c>
      <c r="G555" s="560" t="s">
        <v>286</v>
      </c>
      <c r="H555" s="566">
        <v>9.9579242636746148</v>
      </c>
      <c r="I555" s="567" t="s">
        <v>464</v>
      </c>
      <c r="J555" s="568" t="s">
        <v>288</v>
      </c>
      <c r="L555" s="373">
        <v>1</v>
      </c>
    </row>
    <row r="556" spans="1:12">
      <c r="A556" s="565">
        <v>551</v>
      </c>
      <c r="B556" s="560" t="s">
        <v>277</v>
      </c>
      <c r="C556" s="560" t="s">
        <v>462</v>
      </c>
      <c r="D556" s="560" t="s">
        <v>294</v>
      </c>
      <c r="E556" s="560">
        <v>210</v>
      </c>
      <c r="F556" s="560">
        <v>8</v>
      </c>
      <c r="G556" s="560" t="s">
        <v>286</v>
      </c>
      <c r="H556" s="566">
        <v>5.8906030855539973</v>
      </c>
      <c r="I556" s="567" t="s">
        <v>464</v>
      </c>
      <c r="J556" s="568" t="s">
        <v>288</v>
      </c>
      <c r="L556" s="373">
        <v>1</v>
      </c>
    </row>
    <row r="557" spans="1:12">
      <c r="A557" s="565">
        <v>552</v>
      </c>
      <c r="B557" s="560" t="s">
        <v>277</v>
      </c>
      <c r="C557" s="560" t="s">
        <v>462</v>
      </c>
      <c r="D557" s="560" t="s">
        <v>294</v>
      </c>
      <c r="E557" s="560">
        <v>348</v>
      </c>
      <c r="F557" s="560">
        <v>20</v>
      </c>
      <c r="G557" s="560" t="s">
        <v>286</v>
      </c>
      <c r="H557" s="566">
        <v>9.7615708274894821</v>
      </c>
      <c r="I557" s="567" t="s">
        <v>464</v>
      </c>
      <c r="J557" s="568" t="s">
        <v>288</v>
      </c>
      <c r="L557" s="373">
        <v>1</v>
      </c>
    </row>
    <row r="558" spans="1:12">
      <c r="A558" s="565">
        <v>553</v>
      </c>
      <c r="B558" s="560" t="s">
        <v>277</v>
      </c>
      <c r="C558" s="560" t="s">
        <v>462</v>
      </c>
      <c r="D558" s="560" t="s">
        <v>294</v>
      </c>
      <c r="E558" s="560">
        <v>396</v>
      </c>
      <c r="F558" s="560">
        <v>14</v>
      </c>
      <c r="G558" s="560" t="s">
        <v>286</v>
      </c>
      <c r="H558" s="566">
        <v>11.107994389901824</v>
      </c>
      <c r="I558" s="567" t="s">
        <v>464</v>
      </c>
      <c r="J558" s="568" t="s">
        <v>288</v>
      </c>
      <c r="L558" s="373">
        <v>1</v>
      </c>
    </row>
    <row r="559" spans="1:12">
      <c r="A559" s="565">
        <v>554</v>
      </c>
      <c r="B559" s="560" t="s">
        <v>277</v>
      </c>
      <c r="C559" s="560" t="s">
        <v>462</v>
      </c>
      <c r="D559" s="560" t="s">
        <v>294</v>
      </c>
      <c r="E559" s="560">
        <v>470</v>
      </c>
      <c r="F559" s="560">
        <v>10</v>
      </c>
      <c r="G559" s="560" t="s">
        <v>286</v>
      </c>
      <c r="H559" s="566">
        <v>13.183730715287519</v>
      </c>
      <c r="I559" s="567" t="s">
        <v>464</v>
      </c>
      <c r="J559" s="568" t="s">
        <v>288</v>
      </c>
      <c r="L559" s="373">
        <v>1</v>
      </c>
    </row>
    <row r="560" spans="1:12">
      <c r="A560" s="565">
        <v>555</v>
      </c>
      <c r="B560" s="560" t="s">
        <v>277</v>
      </c>
      <c r="C560" s="560" t="s">
        <v>462</v>
      </c>
      <c r="D560" s="560" t="s">
        <v>294</v>
      </c>
      <c r="E560" s="560">
        <v>133</v>
      </c>
      <c r="F560" s="560">
        <v>8</v>
      </c>
      <c r="G560" s="560" t="s">
        <v>286</v>
      </c>
      <c r="H560" s="566">
        <v>3.7307152875175316</v>
      </c>
      <c r="I560" s="567" t="s">
        <v>464</v>
      </c>
      <c r="J560" s="568" t="s">
        <v>288</v>
      </c>
      <c r="L560" s="373">
        <v>1</v>
      </c>
    </row>
    <row r="561" spans="1:12">
      <c r="A561" s="565">
        <v>556</v>
      </c>
      <c r="B561" s="560" t="s">
        <v>277</v>
      </c>
      <c r="C561" s="560" t="s">
        <v>462</v>
      </c>
      <c r="D561" s="560" t="s">
        <v>294</v>
      </c>
      <c r="E561" s="560">
        <v>294</v>
      </c>
      <c r="F561" s="560">
        <v>15</v>
      </c>
      <c r="G561" s="560" t="s">
        <v>286</v>
      </c>
      <c r="H561" s="566">
        <v>8.2468443197755956</v>
      </c>
      <c r="I561" s="567" t="s">
        <v>464</v>
      </c>
      <c r="J561" s="568" t="s">
        <v>288</v>
      </c>
      <c r="L561" s="373">
        <v>1</v>
      </c>
    </row>
    <row r="562" spans="1:12">
      <c r="A562" s="565">
        <v>557</v>
      </c>
      <c r="B562" s="560" t="s">
        <v>277</v>
      </c>
      <c r="C562" s="560" t="s">
        <v>462</v>
      </c>
      <c r="D562" s="560" t="s">
        <v>294</v>
      </c>
      <c r="E562" s="560">
        <v>562</v>
      </c>
      <c r="F562" s="560">
        <v>26</v>
      </c>
      <c r="G562" s="560" t="s">
        <v>286</v>
      </c>
      <c r="H562" s="566">
        <v>15.764375876577841</v>
      </c>
      <c r="I562" s="567" t="s">
        <v>464</v>
      </c>
      <c r="J562" s="568" t="s">
        <v>288</v>
      </c>
      <c r="L562" s="373">
        <v>1</v>
      </c>
    </row>
    <row r="563" spans="1:12">
      <c r="A563" s="565">
        <v>558</v>
      </c>
      <c r="B563" s="560" t="s">
        <v>278</v>
      </c>
      <c r="C563" s="560" t="s">
        <v>462</v>
      </c>
      <c r="D563" s="560" t="s">
        <v>294</v>
      </c>
      <c r="E563" s="560">
        <v>127</v>
      </c>
      <c r="F563" s="560">
        <v>2</v>
      </c>
      <c r="G563" s="560" t="s">
        <v>286</v>
      </c>
      <c r="H563" s="566">
        <v>3.562412342215989</v>
      </c>
      <c r="I563" s="567" t="s">
        <v>464</v>
      </c>
      <c r="J563" s="568" t="s">
        <v>288</v>
      </c>
      <c r="L563" s="373">
        <v>1</v>
      </c>
    </row>
    <row r="564" spans="1:12">
      <c r="A564" s="565">
        <v>559</v>
      </c>
      <c r="B564" s="560" t="s">
        <v>278</v>
      </c>
      <c r="C564" s="560" t="s">
        <v>462</v>
      </c>
      <c r="D564" s="560" t="s">
        <v>290</v>
      </c>
      <c r="E564" s="560">
        <v>102</v>
      </c>
      <c r="F564" s="560">
        <v>3</v>
      </c>
      <c r="G564" s="560" t="s">
        <v>286</v>
      </c>
      <c r="H564" s="566">
        <v>2.8611500701262274</v>
      </c>
      <c r="I564" s="567" t="s">
        <v>288</v>
      </c>
      <c r="J564" s="568" t="s">
        <v>288</v>
      </c>
      <c r="L564" s="373">
        <v>1</v>
      </c>
    </row>
    <row r="565" spans="1:12" ht="21">
      <c r="A565" s="565">
        <v>560</v>
      </c>
      <c r="B565" s="560" t="s">
        <v>277</v>
      </c>
      <c r="C565" s="560" t="s">
        <v>462</v>
      </c>
      <c r="D565" s="560" t="s">
        <v>292</v>
      </c>
      <c r="E565" s="560">
        <v>238</v>
      </c>
      <c r="F565" s="560">
        <v>11</v>
      </c>
      <c r="G565" s="560" t="s">
        <v>286</v>
      </c>
      <c r="H565" s="566">
        <v>6.6760168302945306</v>
      </c>
      <c r="I565" s="567" t="s">
        <v>465</v>
      </c>
      <c r="J565" s="568" t="s">
        <v>288</v>
      </c>
      <c r="L565" s="373">
        <v>1</v>
      </c>
    </row>
    <row r="566" spans="1:12">
      <c r="A566" s="565">
        <v>561</v>
      </c>
      <c r="B566" s="560" t="s">
        <v>277</v>
      </c>
      <c r="C566" s="560" t="s">
        <v>462</v>
      </c>
      <c r="D566" s="560" t="s">
        <v>292</v>
      </c>
      <c r="E566" s="560">
        <v>498</v>
      </c>
      <c r="F566" s="560">
        <v>17</v>
      </c>
      <c r="G566" s="560" t="s">
        <v>286</v>
      </c>
      <c r="H566" s="566">
        <v>13.969144460028051</v>
      </c>
      <c r="I566" s="567" t="s">
        <v>464</v>
      </c>
      <c r="J566" s="568" t="s">
        <v>288</v>
      </c>
      <c r="L566" s="373">
        <v>1</v>
      </c>
    </row>
    <row r="567" spans="1:12">
      <c r="A567" s="565">
        <v>562</v>
      </c>
      <c r="B567" s="560" t="s">
        <v>277</v>
      </c>
      <c r="C567" s="560" t="s">
        <v>462</v>
      </c>
      <c r="D567" s="560" t="s">
        <v>292</v>
      </c>
      <c r="E567" s="560">
        <v>362</v>
      </c>
      <c r="F567" s="560">
        <v>18</v>
      </c>
      <c r="G567" s="560" t="s">
        <v>487</v>
      </c>
      <c r="H567" s="566">
        <v>138.22069492172585</v>
      </c>
      <c r="I567" s="567" t="s">
        <v>464</v>
      </c>
      <c r="J567" s="568" t="s">
        <v>288</v>
      </c>
      <c r="L567" s="373">
        <v>1</v>
      </c>
    </row>
    <row r="568" spans="1:12">
      <c r="A568" s="565">
        <v>563</v>
      </c>
      <c r="B568" s="560" t="s">
        <v>277</v>
      </c>
      <c r="C568" s="560" t="s">
        <v>462</v>
      </c>
      <c r="D568" s="560" t="s">
        <v>292</v>
      </c>
      <c r="E568" s="560">
        <v>670</v>
      </c>
      <c r="F568" s="560">
        <v>21</v>
      </c>
      <c r="G568" s="560" t="str">
        <f>G567</f>
        <v>inst.c.o.</v>
      </c>
      <c r="H568" s="566">
        <v>255.82283314242076</v>
      </c>
      <c r="I568" s="567" t="s">
        <v>464</v>
      </c>
      <c r="J568" s="568" t="s">
        <v>288</v>
      </c>
      <c r="L568" s="373">
        <v>1</v>
      </c>
    </row>
    <row r="569" spans="1:12">
      <c r="A569" s="565">
        <v>564</v>
      </c>
      <c r="B569" s="560" t="s">
        <v>277</v>
      </c>
      <c r="C569" s="560" t="s">
        <v>462</v>
      </c>
      <c r="D569" s="560" t="s">
        <v>290</v>
      </c>
      <c r="E569" s="560">
        <v>2136</v>
      </c>
      <c r="F569" s="560">
        <v>61</v>
      </c>
      <c r="G569" s="560" t="str">
        <f>G568</f>
        <v>inst.c.o.</v>
      </c>
      <c r="H569" s="566">
        <v>815.57846506300109</v>
      </c>
      <c r="I569" s="567" t="s">
        <v>464</v>
      </c>
      <c r="J569" s="568" t="s">
        <v>288</v>
      </c>
      <c r="L569" s="373">
        <v>1</v>
      </c>
    </row>
    <row r="570" spans="1:12">
      <c r="A570" s="565">
        <v>565</v>
      </c>
      <c r="B570" s="560" t="s">
        <v>277</v>
      </c>
      <c r="C570" s="560" t="s">
        <v>462</v>
      </c>
      <c r="D570" s="560" t="s">
        <v>292</v>
      </c>
      <c r="E570" s="560">
        <v>478</v>
      </c>
      <c r="F570" s="560">
        <v>7</v>
      </c>
      <c r="G570" s="560" t="s">
        <v>34</v>
      </c>
      <c r="H570" s="566">
        <v>6128.2051282051279</v>
      </c>
      <c r="I570" s="567" t="s">
        <v>464</v>
      </c>
      <c r="J570" s="568" t="s">
        <v>288</v>
      </c>
      <c r="L570" s="373">
        <v>1</v>
      </c>
    </row>
    <row r="571" spans="1:12" ht="21">
      <c r="A571" s="565">
        <v>566</v>
      </c>
      <c r="B571" s="560" t="s">
        <v>277</v>
      </c>
      <c r="C571" s="560" t="s">
        <v>462</v>
      </c>
      <c r="D571" s="560" t="s">
        <v>292</v>
      </c>
      <c r="E571" s="560">
        <v>373</v>
      </c>
      <c r="F571" s="560">
        <v>11</v>
      </c>
      <c r="G571" s="560" t="s">
        <v>34</v>
      </c>
      <c r="H571" s="566">
        <v>4782.0512820512822</v>
      </c>
      <c r="I571" s="567" t="s">
        <v>466</v>
      </c>
      <c r="J571" s="568" t="s">
        <v>288</v>
      </c>
      <c r="L571" s="373">
        <v>1</v>
      </c>
    </row>
    <row r="572" spans="1:12" ht="21">
      <c r="A572" s="565">
        <v>567</v>
      </c>
      <c r="B572" s="560" t="s">
        <v>277</v>
      </c>
      <c r="C572" s="560" t="s">
        <v>462</v>
      </c>
      <c r="D572" s="560" t="s">
        <v>291</v>
      </c>
      <c r="E572" s="560">
        <v>407</v>
      </c>
      <c r="F572" s="560">
        <v>14</v>
      </c>
      <c r="G572" s="560" t="s">
        <v>34</v>
      </c>
      <c r="H572" s="566">
        <v>5217.9487179487178</v>
      </c>
      <c r="I572" s="567" t="s">
        <v>466</v>
      </c>
      <c r="J572" s="568" t="s">
        <v>288</v>
      </c>
      <c r="L572" s="373">
        <v>1</v>
      </c>
    </row>
    <row r="573" spans="1:12">
      <c r="A573" s="565">
        <v>568</v>
      </c>
      <c r="B573" s="560" t="s">
        <v>278</v>
      </c>
      <c r="C573" s="560" t="s">
        <v>462</v>
      </c>
      <c r="D573" s="560" t="s">
        <v>293</v>
      </c>
      <c r="E573" s="560">
        <v>170</v>
      </c>
      <c r="F573" s="560">
        <v>2</v>
      </c>
      <c r="G573" s="560" t="s">
        <v>34</v>
      </c>
      <c r="H573" s="566">
        <v>2179.4871794871797</v>
      </c>
      <c r="I573" s="567" t="s">
        <v>464</v>
      </c>
      <c r="J573" s="568" t="s">
        <v>288</v>
      </c>
      <c r="L573" s="373">
        <v>1</v>
      </c>
    </row>
    <row r="574" spans="1:12">
      <c r="A574" s="565">
        <v>569</v>
      </c>
      <c r="B574" s="560" t="s">
        <v>277</v>
      </c>
      <c r="C574" s="560" t="s">
        <v>462</v>
      </c>
      <c r="D574" s="560" t="s">
        <v>292</v>
      </c>
      <c r="E574" s="560">
        <v>342</v>
      </c>
      <c r="F574" s="560">
        <v>16</v>
      </c>
      <c r="G574" s="560" t="str">
        <f>G590</f>
        <v>węgiel</v>
      </c>
      <c r="H574" s="566">
        <v>9.5932678821879378</v>
      </c>
      <c r="I574" s="567" t="s">
        <v>464</v>
      </c>
      <c r="J574" s="568" t="s">
        <v>288</v>
      </c>
      <c r="L574" s="373">
        <v>1</v>
      </c>
    </row>
    <row r="575" spans="1:12">
      <c r="A575" s="565">
        <v>570</v>
      </c>
      <c r="B575" s="560" t="s">
        <v>278</v>
      </c>
      <c r="C575" s="560" t="s">
        <v>462</v>
      </c>
      <c r="D575" s="560" t="s">
        <v>292</v>
      </c>
      <c r="E575" s="560">
        <v>251</v>
      </c>
      <c r="F575" s="560">
        <v>6</v>
      </c>
      <c r="G575" s="560" t="str">
        <f>G574</f>
        <v>węgiel</v>
      </c>
      <c r="H575" s="566">
        <v>7.0406732117812068</v>
      </c>
      <c r="I575" s="567" t="s">
        <v>464</v>
      </c>
      <c r="J575" s="568" t="s">
        <v>288</v>
      </c>
      <c r="L575" s="373">
        <v>1</v>
      </c>
    </row>
    <row r="576" spans="1:12">
      <c r="A576" s="565">
        <v>571</v>
      </c>
      <c r="B576" s="560" t="s">
        <v>277</v>
      </c>
      <c r="C576" s="560" t="s">
        <v>462</v>
      </c>
      <c r="D576" s="560" t="s">
        <v>292</v>
      </c>
      <c r="E576" s="560">
        <v>231</v>
      </c>
      <c r="F576" s="560">
        <v>12</v>
      </c>
      <c r="G576" s="560" t="str">
        <f t="shared" ref="G576:G577" si="8">G575</f>
        <v>węgiel</v>
      </c>
      <c r="H576" s="566">
        <v>6.4796633941093971</v>
      </c>
      <c r="I576" s="567" t="s">
        <v>288</v>
      </c>
      <c r="J576" s="568" t="s">
        <v>288</v>
      </c>
      <c r="L576" s="373">
        <v>1</v>
      </c>
    </row>
    <row r="577" spans="1:12">
      <c r="A577" s="565">
        <v>572</v>
      </c>
      <c r="B577" s="560" t="s">
        <v>277</v>
      </c>
      <c r="C577" s="560" t="s">
        <v>462</v>
      </c>
      <c r="D577" s="560" t="s">
        <v>292</v>
      </c>
      <c r="E577" s="560">
        <v>310</v>
      </c>
      <c r="F577" s="560">
        <v>11</v>
      </c>
      <c r="G577" s="560" t="str">
        <f t="shared" si="8"/>
        <v>węgiel</v>
      </c>
      <c r="H577" s="566">
        <v>8.695652173913043</v>
      </c>
      <c r="I577" s="567" t="s">
        <v>464</v>
      </c>
      <c r="J577" s="568" t="s">
        <v>288</v>
      </c>
      <c r="L577" s="373">
        <v>1</v>
      </c>
    </row>
    <row r="578" spans="1:12">
      <c r="A578" s="565">
        <v>573</v>
      </c>
      <c r="B578" s="560" t="s">
        <v>277</v>
      </c>
      <c r="C578" s="560" t="s">
        <v>462</v>
      </c>
      <c r="D578" s="560" t="s">
        <v>290</v>
      </c>
      <c r="E578" s="560">
        <v>418</v>
      </c>
      <c r="F578" s="560">
        <v>16</v>
      </c>
      <c r="G578" s="560">
        <f>M15</f>
        <v>0</v>
      </c>
      <c r="H578" s="566">
        <v>159.6029018709431</v>
      </c>
      <c r="I578" s="567" t="s">
        <v>464</v>
      </c>
      <c r="J578" s="568" t="s">
        <v>288</v>
      </c>
      <c r="L578" s="373">
        <v>1</v>
      </c>
    </row>
    <row r="579" spans="1:12">
      <c r="A579" s="565">
        <v>574</v>
      </c>
      <c r="B579" s="560" t="s">
        <v>277</v>
      </c>
      <c r="C579" s="560" t="s">
        <v>462</v>
      </c>
      <c r="D579" s="560" t="s">
        <v>292</v>
      </c>
      <c r="E579" s="560">
        <v>243</v>
      </c>
      <c r="F579" s="560">
        <v>8</v>
      </c>
      <c r="G579" s="560">
        <f>G578</f>
        <v>0</v>
      </c>
      <c r="H579" s="566">
        <v>92.783505154639172</v>
      </c>
      <c r="I579" s="567" t="s">
        <v>464</v>
      </c>
      <c r="J579" s="568" t="s">
        <v>288</v>
      </c>
      <c r="L579" s="373">
        <v>1</v>
      </c>
    </row>
    <row r="580" spans="1:12" ht="21">
      <c r="A580" s="565">
        <v>575</v>
      </c>
      <c r="B580" s="560" t="s">
        <v>277</v>
      </c>
      <c r="C580" s="560" t="s">
        <v>462</v>
      </c>
      <c r="D580" s="560" t="s">
        <v>292</v>
      </c>
      <c r="E580" s="560">
        <v>449</v>
      </c>
      <c r="F580" s="560">
        <v>8</v>
      </c>
      <c r="G580" s="560">
        <f t="shared" ref="G580:G589" si="9">G579</f>
        <v>0</v>
      </c>
      <c r="H580" s="566">
        <v>171.43948071783123</v>
      </c>
      <c r="I580" s="567" t="s">
        <v>467</v>
      </c>
      <c r="J580" s="568" t="s">
        <v>468</v>
      </c>
      <c r="L580" s="373">
        <v>1</v>
      </c>
    </row>
    <row r="581" spans="1:12">
      <c r="A581" s="565">
        <v>576</v>
      </c>
      <c r="B581" s="560" t="s">
        <v>277</v>
      </c>
      <c r="C581" s="560" t="s">
        <v>462</v>
      </c>
      <c r="D581" s="560" t="s">
        <v>291</v>
      </c>
      <c r="E581" s="560">
        <v>446</v>
      </c>
      <c r="F581" s="560">
        <v>13</v>
      </c>
      <c r="G581" s="560">
        <f t="shared" si="9"/>
        <v>0</v>
      </c>
      <c r="H581" s="566">
        <v>170.29400534555171</v>
      </c>
      <c r="I581" s="567" t="s">
        <v>464</v>
      </c>
      <c r="J581" s="568" t="s">
        <v>288</v>
      </c>
      <c r="L581" s="373">
        <v>1</v>
      </c>
    </row>
    <row r="582" spans="1:12">
      <c r="A582" s="565">
        <v>577</v>
      </c>
      <c r="B582" s="560" t="s">
        <v>277</v>
      </c>
      <c r="C582" s="560" t="s">
        <v>462</v>
      </c>
      <c r="D582" s="560" t="s">
        <v>293</v>
      </c>
      <c r="E582" s="560">
        <v>235</v>
      </c>
      <c r="F582" s="560">
        <v>10</v>
      </c>
      <c r="G582" s="560">
        <f t="shared" si="9"/>
        <v>0</v>
      </c>
      <c r="H582" s="566">
        <v>89.728904161893851</v>
      </c>
      <c r="I582" s="567" t="s">
        <v>464</v>
      </c>
      <c r="J582" s="568" t="s">
        <v>288</v>
      </c>
      <c r="L582" s="373">
        <v>1</v>
      </c>
    </row>
    <row r="583" spans="1:12">
      <c r="A583" s="565">
        <v>578</v>
      </c>
      <c r="B583" s="560" t="s">
        <v>277</v>
      </c>
      <c r="C583" s="560" t="s">
        <v>462</v>
      </c>
      <c r="D583" s="560" t="s">
        <v>290</v>
      </c>
      <c r="E583" s="560">
        <v>174</v>
      </c>
      <c r="F583" s="560">
        <v>11</v>
      </c>
      <c r="G583" s="560">
        <f t="shared" si="9"/>
        <v>0</v>
      </c>
      <c r="H583" s="566">
        <v>66.437571592210759</v>
      </c>
      <c r="I583" s="567" t="s">
        <v>464</v>
      </c>
      <c r="J583" s="568" t="s">
        <v>288</v>
      </c>
      <c r="L583" s="373">
        <v>1</v>
      </c>
    </row>
    <row r="584" spans="1:12">
      <c r="A584" s="565">
        <v>579</v>
      </c>
      <c r="B584" s="560" t="s">
        <v>277</v>
      </c>
      <c r="C584" s="560" t="s">
        <v>462</v>
      </c>
      <c r="D584" s="560" t="s">
        <v>292</v>
      </c>
      <c r="E584" s="560">
        <v>420</v>
      </c>
      <c r="F584" s="560">
        <v>12</v>
      </c>
      <c r="G584" s="560">
        <f t="shared" si="9"/>
        <v>0</v>
      </c>
      <c r="H584" s="566">
        <v>160.36655211912944</v>
      </c>
      <c r="I584" s="567" t="s">
        <v>464</v>
      </c>
      <c r="J584" s="568" t="s">
        <v>288</v>
      </c>
      <c r="L584" s="373">
        <v>1</v>
      </c>
    </row>
    <row r="585" spans="1:12">
      <c r="A585" s="565">
        <v>580</v>
      </c>
      <c r="B585" s="560" t="s">
        <v>278</v>
      </c>
      <c r="C585" s="560" t="s">
        <v>462</v>
      </c>
      <c r="D585" s="560" t="s">
        <v>292</v>
      </c>
      <c r="E585" s="560">
        <v>165</v>
      </c>
      <c r="F585" s="560">
        <v>7</v>
      </c>
      <c r="G585" s="560">
        <f t="shared" si="9"/>
        <v>0</v>
      </c>
      <c r="H585" s="566">
        <v>63.001145475372276</v>
      </c>
      <c r="I585" s="567" t="s">
        <v>464</v>
      </c>
      <c r="J585" s="568" t="s">
        <v>288</v>
      </c>
      <c r="L585" s="373">
        <v>1</v>
      </c>
    </row>
    <row r="586" spans="1:12">
      <c r="A586" s="565">
        <v>581</v>
      </c>
      <c r="B586" s="560" t="s">
        <v>277</v>
      </c>
      <c r="C586" s="560" t="s">
        <v>462</v>
      </c>
      <c r="D586" s="560" t="s">
        <v>291</v>
      </c>
      <c r="E586" s="560">
        <v>275</v>
      </c>
      <c r="F586" s="560">
        <v>21</v>
      </c>
      <c r="G586" s="560">
        <f t="shared" si="9"/>
        <v>0</v>
      </c>
      <c r="H586" s="566">
        <v>105.00190912562046</v>
      </c>
      <c r="I586" s="567" t="s">
        <v>464</v>
      </c>
      <c r="J586" s="568" t="s">
        <v>288</v>
      </c>
      <c r="L586" s="373">
        <v>1</v>
      </c>
    </row>
    <row r="587" spans="1:12">
      <c r="A587" s="565">
        <v>582</v>
      </c>
      <c r="B587" s="560" t="s">
        <v>277</v>
      </c>
      <c r="C587" s="560" t="s">
        <v>462</v>
      </c>
      <c r="D587" s="560" t="s">
        <v>293</v>
      </c>
      <c r="E587" s="560">
        <v>267</v>
      </c>
      <c r="F587" s="560">
        <v>9</v>
      </c>
      <c r="G587" s="560">
        <f t="shared" si="9"/>
        <v>0</v>
      </c>
      <c r="H587" s="566">
        <v>101.94730813287514</v>
      </c>
      <c r="I587" s="567" t="s">
        <v>464</v>
      </c>
      <c r="J587" s="568" t="s">
        <v>288</v>
      </c>
      <c r="L587" s="373">
        <v>1</v>
      </c>
    </row>
    <row r="588" spans="1:12">
      <c r="A588" s="565">
        <v>583</v>
      </c>
      <c r="B588" s="560" t="s">
        <v>277</v>
      </c>
      <c r="C588" s="560" t="s">
        <v>462</v>
      </c>
      <c r="D588" s="560" t="s">
        <v>291</v>
      </c>
      <c r="E588" s="560">
        <v>327</v>
      </c>
      <c r="F588" s="560">
        <v>7</v>
      </c>
      <c r="G588" s="560">
        <f t="shared" si="9"/>
        <v>0</v>
      </c>
      <c r="H588" s="566">
        <v>124.85681557846505</v>
      </c>
      <c r="I588" s="567" t="s">
        <v>464</v>
      </c>
      <c r="J588" s="568" t="s">
        <v>288</v>
      </c>
      <c r="L588" s="373">
        <v>1</v>
      </c>
    </row>
    <row r="589" spans="1:12">
      <c r="A589" s="565">
        <v>584</v>
      </c>
      <c r="B589" s="560" t="s">
        <v>277</v>
      </c>
      <c r="C589" s="560" t="s">
        <v>462</v>
      </c>
      <c r="D589" s="560" t="s">
        <v>503</v>
      </c>
      <c r="E589" s="560">
        <v>262</v>
      </c>
      <c r="F589" s="560">
        <v>15</v>
      </c>
      <c r="G589" s="560">
        <f t="shared" si="9"/>
        <v>0</v>
      </c>
      <c r="H589" s="566">
        <v>100.03818251240931</v>
      </c>
      <c r="I589" s="567" t="s">
        <v>464</v>
      </c>
      <c r="J589" s="568" t="s">
        <v>288</v>
      </c>
      <c r="L589" s="373">
        <v>1</v>
      </c>
    </row>
    <row r="590" spans="1:12">
      <c r="A590" s="565">
        <v>585</v>
      </c>
      <c r="B590" s="560" t="s">
        <v>277</v>
      </c>
      <c r="C590" s="560" t="s">
        <v>462</v>
      </c>
      <c r="D590" s="560" t="s">
        <v>294</v>
      </c>
      <c r="E590" s="560">
        <v>337</v>
      </c>
      <c r="F590" s="560">
        <v>12</v>
      </c>
      <c r="G590" s="560" t="str">
        <f t="shared" ref="G590:G595" si="10">G593</f>
        <v>węgiel</v>
      </c>
      <c r="H590" s="566">
        <v>9.4530154277699872</v>
      </c>
      <c r="I590" s="567" t="s">
        <v>464</v>
      </c>
      <c r="J590" s="568" t="s">
        <v>288</v>
      </c>
      <c r="L590" s="373">
        <v>1</v>
      </c>
    </row>
    <row r="591" spans="1:12">
      <c r="A591" s="565">
        <v>586</v>
      </c>
      <c r="B591" s="560" t="s">
        <v>277</v>
      </c>
      <c r="C591" s="560" t="s">
        <v>462</v>
      </c>
      <c r="D591" s="560" t="s">
        <v>294</v>
      </c>
      <c r="E591" s="560">
        <v>673</v>
      </c>
      <c r="F591" s="560">
        <v>23</v>
      </c>
      <c r="G591" s="560" t="str">
        <f t="shared" si="10"/>
        <v>węgiel</v>
      </c>
      <c r="H591" s="566">
        <v>18.877980364656381</v>
      </c>
      <c r="I591" s="567" t="s">
        <v>464</v>
      </c>
      <c r="J591" s="568" t="s">
        <v>288</v>
      </c>
      <c r="L591" s="373">
        <v>1</v>
      </c>
    </row>
    <row r="592" spans="1:12">
      <c r="A592" s="565">
        <v>587</v>
      </c>
      <c r="B592" s="560" t="s">
        <v>277</v>
      </c>
      <c r="C592" s="560" t="s">
        <v>462</v>
      </c>
      <c r="D592" s="560" t="s">
        <v>291</v>
      </c>
      <c r="E592" s="560">
        <v>272</v>
      </c>
      <c r="F592" s="560">
        <v>11</v>
      </c>
      <c r="G592" s="560" t="str">
        <f t="shared" si="10"/>
        <v>węgiel</v>
      </c>
      <c r="H592" s="566">
        <v>7.6297335203366066</v>
      </c>
      <c r="I592" s="567" t="s">
        <v>288</v>
      </c>
      <c r="J592" s="568" t="s">
        <v>288</v>
      </c>
      <c r="L592" s="373">
        <v>1</v>
      </c>
    </row>
    <row r="593" spans="1:12">
      <c r="A593" s="565">
        <v>588</v>
      </c>
      <c r="B593" s="560" t="s">
        <v>277</v>
      </c>
      <c r="C593" s="560" t="s">
        <v>462</v>
      </c>
      <c r="D593" s="560" t="s">
        <v>292</v>
      </c>
      <c r="E593" s="560">
        <v>305</v>
      </c>
      <c r="F593" s="560">
        <v>14</v>
      </c>
      <c r="G593" s="560" t="str">
        <f t="shared" si="10"/>
        <v>węgiel</v>
      </c>
      <c r="H593" s="566">
        <v>8.5553997194950924</v>
      </c>
      <c r="I593" s="567" t="s">
        <v>464</v>
      </c>
      <c r="J593" s="568"/>
      <c r="L593" s="373">
        <v>1</v>
      </c>
    </row>
    <row r="594" spans="1:12">
      <c r="A594" s="565">
        <v>589</v>
      </c>
      <c r="B594" s="560" t="s">
        <v>277</v>
      </c>
      <c r="C594" s="560" t="s">
        <v>462</v>
      </c>
      <c r="D594" s="560" t="s">
        <v>291</v>
      </c>
      <c r="E594" s="560">
        <v>214</v>
      </c>
      <c r="F594" s="560">
        <v>10</v>
      </c>
      <c r="G594" s="560" t="str">
        <f t="shared" si="10"/>
        <v>węgiel</v>
      </c>
      <c r="H594" s="566">
        <v>6.0028050490883595</v>
      </c>
      <c r="I594" s="567" t="s">
        <v>464</v>
      </c>
      <c r="J594" s="568" t="s">
        <v>288</v>
      </c>
      <c r="L594" s="373">
        <v>1</v>
      </c>
    </row>
    <row r="595" spans="1:12">
      <c r="A595" s="565">
        <v>590</v>
      </c>
      <c r="B595" s="560" t="s">
        <v>277</v>
      </c>
      <c r="C595" s="560" t="s">
        <v>462</v>
      </c>
      <c r="D595" s="560" t="s">
        <v>291</v>
      </c>
      <c r="E595" s="560">
        <v>171</v>
      </c>
      <c r="F595" s="560">
        <v>9</v>
      </c>
      <c r="G595" s="560" t="str">
        <f t="shared" si="10"/>
        <v>węgiel</v>
      </c>
      <c r="H595" s="566">
        <v>4.7966339410939689</v>
      </c>
      <c r="I595" s="567" t="s">
        <v>464</v>
      </c>
      <c r="J595" s="568" t="s">
        <v>288</v>
      </c>
      <c r="L595" s="373">
        <v>1</v>
      </c>
    </row>
    <row r="596" spans="1:12" ht="21">
      <c r="A596" s="565">
        <v>591</v>
      </c>
      <c r="B596" s="560" t="s">
        <v>278</v>
      </c>
      <c r="C596" s="560" t="s">
        <v>462</v>
      </c>
      <c r="D596" s="560" t="s">
        <v>291</v>
      </c>
      <c r="E596" s="560">
        <v>350</v>
      </c>
      <c r="F596" s="560">
        <v>8</v>
      </c>
      <c r="G596" s="560" t="s">
        <v>286</v>
      </c>
      <c r="H596" s="566">
        <v>9.8176718092566624</v>
      </c>
      <c r="I596" s="567" t="s">
        <v>465</v>
      </c>
      <c r="J596" s="568" t="s">
        <v>468</v>
      </c>
      <c r="L596" s="373">
        <v>1</v>
      </c>
    </row>
    <row r="597" spans="1:12">
      <c r="A597" s="565">
        <v>592</v>
      </c>
      <c r="B597" s="560" t="s">
        <v>277</v>
      </c>
      <c r="C597" s="560" t="s">
        <v>462</v>
      </c>
      <c r="D597" s="560" t="s">
        <v>291</v>
      </c>
      <c r="E597" s="560">
        <v>302</v>
      </c>
      <c r="F597" s="560">
        <v>8</v>
      </c>
      <c r="G597" s="560" t="str">
        <f>G600</f>
        <v>węgiel</v>
      </c>
      <c r="H597" s="566">
        <v>8.4712482468443202</v>
      </c>
      <c r="I597" s="567" t="s">
        <v>464</v>
      </c>
      <c r="J597" s="568" t="s">
        <v>288</v>
      </c>
      <c r="L597" s="373">
        <v>1</v>
      </c>
    </row>
    <row r="598" spans="1:12">
      <c r="A598" s="565">
        <v>593</v>
      </c>
      <c r="B598" s="560" t="s">
        <v>277</v>
      </c>
      <c r="C598" s="560" t="s">
        <v>462</v>
      </c>
      <c r="D598" s="560" t="s">
        <v>291</v>
      </c>
      <c r="E598" s="560">
        <v>413</v>
      </c>
      <c r="F598" s="560">
        <v>23</v>
      </c>
      <c r="G598" s="560" t="str">
        <f>G601</f>
        <v>węgiel</v>
      </c>
      <c r="H598" s="566">
        <v>11.584852734922862</v>
      </c>
      <c r="I598" s="567" t="s">
        <v>288</v>
      </c>
      <c r="J598" s="568" t="s">
        <v>288</v>
      </c>
      <c r="L598" s="373">
        <v>1</v>
      </c>
    </row>
    <row r="599" spans="1:12">
      <c r="A599" s="565">
        <v>594</v>
      </c>
      <c r="B599" s="560" t="s">
        <v>277</v>
      </c>
      <c r="C599" s="560" t="s">
        <v>462</v>
      </c>
      <c r="D599" s="560" t="s">
        <v>294</v>
      </c>
      <c r="E599" s="560">
        <v>197</v>
      </c>
      <c r="F599" s="560">
        <v>8</v>
      </c>
      <c r="G599" s="560" t="str">
        <f t="shared" ref="G599:G608" si="11">G596</f>
        <v>węgiel</v>
      </c>
      <c r="H599" s="566">
        <v>5.5259467040673211</v>
      </c>
      <c r="I599" s="567" t="s">
        <v>288</v>
      </c>
      <c r="J599" s="568" t="s">
        <v>288</v>
      </c>
      <c r="L599" s="373">
        <v>1</v>
      </c>
    </row>
    <row r="600" spans="1:12">
      <c r="A600" s="565">
        <v>595</v>
      </c>
      <c r="B600" s="560" t="s">
        <v>277</v>
      </c>
      <c r="C600" s="560" t="s">
        <v>462</v>
      </c>
      <c r="D600" s="560" t="s">
        <v>293</v>
      </c>
      <c r="E600" s="560">
        <v>205</v>
      </c>
      <c r="F600" s="560">
        <v>12</v>
      </c>
      <c r="G600" s="560" t="str">
        <f>G603</f>
        <v>węgiel</v>
      </c>
      <c r="H600" s="566">
        <v>5.7503506311360448</v>
      </c>
      <c r="I600" s="567" t="s">
        <v>288</v>
      </c>
      <c r="J600" s="568" t="s">
        <v>288</v>
      </c>
      <c r="L600" s="373">
        <v>1</v>
      </c>
    </row>
    <row r="601" spans="1:12">
      <c r="A601" s="565">
        <v>596</v>
      </c>
      <c r="B601" s="560" t="s">
        <v>277</v>
      </c>
      <c r="C601" s="560" t="s">
        <v>462</v>
      </c>
      <c r="D601" s="560" t="s">
        <v>291</v>
      </c>
      <c r="E601" s="560">
        <v>135</v>
      </c>
      <c r="F601" s="560">
        <v>9</v>
      </c>
      <c r="G601" s="560" t="str">
        <f>G604</f>
        <v>węgiel</v>
      </c>
      <c r="H601" s="566">
        <v>3.7868162692847127</v>
      </c>
      <c r="I601" s="567" t="s">
        <v>288</v>
      </c>
      <c r="J601" s="568" t="s">
        <v>288</v>
      </c>
      <c r="L601" s="373">
        <v>1</v>
      </c>
    </row>
    <row r="602" spans="1:12">
      <c r="A602" s="565">
        <v>597</v>
      </c>
      <c r="B602" s="560" t="s">
        <v>277</v>
      </c>
      <c r="C602" s="560" t="s">
        <v>462</v>
      </c>
      <c r="D602" s="560" t="s">
        <v>294</v>
      </c>
      <c r="E602" s="560">
        <v>126</v>
      </c>
      <c r="F602" s="560">
        <v>10</v>
      </c>
      <c r="G602" s="560" t="str">
        <f t="shared" si="11"/>
        <v>węgiel</v>
      </c>
      <c r="H602" s="566">
        <v>3.5343618513323984</v>
      </c>
      <c r="I602" s="567" t="s">
        <v>288</v>
      </c>
      <c r="J602" s="568" t="s">
        <v>288</v>
      </c>
      <c r="L602" s="373">
        <v>1</v>
      </c>
    </row>
    <row r="603" spans="1:12">
      <c r="A603" s="565">
        <v>598</v>
      </c>
      <c r="B603" s="560" t="s">
        <v>277</v>
      </c>
      <c r="C603" s="560" t="s">
        <v>462</v>
      </c>
      <c r="D603" s="560" t="s">
        <v>293</v>
      </c>
      <c r="E603" s="560">
        <v>96</v>
      </c>
      <c r="F603" s="560">
        <v>9</v>
      </c>
      <c r="G603" s="560" t="str">
        <f>G606</f>
        <v>węgiel</v>
      </c>
      <c r="H603" s="566">
        <v>2.6928471248246844</v>
      </c>
      <c r="I603" s="567" t="s">
        <v>288</v>
      </c>
      <c r="J603" s="568" t="s">
        <v>288</v>
      </c>
      <c r="L603" s="373">
        <v>1</v>
      </c>
    </row>
    <row r="604" spans="1:12">
      <c r="A604" s="565">
        <v>599</v>
      </c>
      <c r="B604" s="560" t="s">
        <v>277</v>
      </c>
      <c r="C604" s="560" t="s">
        <v>462</v>
      </c>
      <c r="D604" s="560" t="s">
        <v>291</v>
      </c>
      <c r="E604" s="560">
        <v>442</v>
      </c>
      <c r="F604" s="560">
        <v>15</v>
      </c>
      <c r="G604" s="560" t="str">
        <f>G607</f>
        <v>węgiel</v>
      </c>
      <c r="H604" s="566">
        <v>12.398316970546984</v>
      </c>
      <c r="I604" s="567" t="s">
        <v>464</v>
      </c>
      <c r="J604" s="568" t="s">
        <v>288</v>
      </c>
      <c r="L604" s="373">
        <v>1</v>
      </c>
    </row>
    <row r="605" spans="1:12" ht="21">
      <c r="A605" s="565">
        <v>600</v>
      </c>
      <c r="B605" s="560" t="s">
        <v>277</v>
      </c>
      <c r="C605" s="560" t="s">
        <v>462</v>
      </c>
      <c r="D605" s="560" t="s">
        <v>292</v>
      </c>
      <c r="E605" s="560">
        <v>2083</v>
      </c>
      <c r="F605" s="560">
        <v>87</v>
      </c>
      <c r="G605" s="560" t="str">
        <f t="shared" si="11"/>
        <v>węgiel</v>
      </c>
      <c r="H605" s="566">
        <v>58.429172510518939</v>
      </c>
      <c r="I605" s="567" t="s">
        <v>469</v>
      </c>
      <c r="J605" s="568" t="s">
        <v>468</v>
      </c>
      <c r="L605" s="373">
        <v>1</v>
      </c>
    </row>
    <row r="606" spans="1:12" ht="21">
      <c r="A606" s="565">
        <v>601</v>
      </c>
      <c r="B606" s="560" t="s">
        <v>277</v>
      </c>
      <c r="C606" s="560" t="s">
        <v>462</v>
      </c>
      <c r="D606" s="560" t="s">
        <v>291</v>
      </c>
      <c r="E606" s="560">
        <v>924</v>
      </c>
      <c r="F606" s="560">
        <v>30</v>
      </c>
      <c r="G606" s="560" t="str">
        <f>G609</f>
        <v>węgiel</v>
      </c>
      <c r="H606" s="566">
        <v>25.918653576437588</v>
      </c>
      <c r="I606" s="567" t="s">
        <v>466</v>
      </c>
      <c r="J606" s="568" t="s">
        <v>468</v>
      </c>
      <c r="L606" s="373">
        <v>1</v>
      </c>
    </row>
    <row r="607" spans="1:12" ht="21">
      <c r="A607" s="565">
        <v>602</v>
      </c>
      <c r="B607" s="560" t="s">
        <v>277</v>
      </c>
      <c r="C607" s="560" t="s">
        <v>462</v>
      </c>
      <c r="D607" s="560" t="s">
        <v>293</v>
      </c>
      <c r="E607" s="560">
        <v>476</v>
      </c>
      <c r="F607" s="560">
        <v>11</v>
      </c>
      <c r="G607" s="560" t="str">
        <f>G606</f>
        <v>węgiel</v>
      </c>
      <c r="H607" s="566">
        <v>13.352033660589061</v>
      </c>
      <c r="I607" s="567" t="s">
        <v>466</v>
      </c>
      <c r="J607" s="568" t="s">
        <v>468</v>
      </c>
      <c r="L607" s="373">
        <v>1</v>
      </c>
    </row>
    <row r="608" spans="1:12">
      <c r="A608" s="565">
        <v>603</v>
      </c>
      <c r="B608" s="560" t="s">
        <v>277</v>
      </c>
      <c r="C608" s="560" t="s">
        <v>462</v>
      </c>
      <c r="D608" s="560" t="s">
        <v>291</v>
      </c>
      <c r="E608" s="560">
        <v>167</v>
      </c>
      <c r="F608" s="560">
        <v>12</v>
      </c>
      <c r="G608" s="560" t="str">
        <f t="shared" si="11"/>
        <v>węgiel</v>
      </c>
      <c r="H608" s="566">
        <v>4.6844319775596075</v>
      </c>
      <c r="I608" s="567" t="s">
        <v>470</v>
      </c>
      <c r="J608" s="568" t="s">
        <v>468</v>
      </c>
      <c r="L608" s="373">
        <v>1</v>
      </c>
    </row>
    <row r="609" spans="1:12" ht="21">
      <c r="A609" s="565">
        <v>604</v>
      </c>
      <c r="B609" s="560" t="s">
        <v>277</v>
      </c>
      <c r="C609" s="560" t="s">
        <v>462</v>
      </c>
      <c r="D609" s="560" t="s">
        <v>291</v>
      </c>
      <c r="E609" s="560">
        <v>980</v>
      </c>
      <c r="F609" s="560">
        <v>34</v>
      </c>
      <c r="G609" s="560" t="s">
        <v>286</v>
      </c>
      <c r="H609" s="566">
        <v>27.489481065918653</v>
      </c>
      <c r="I609" s="567" t="s">
        <v>471</v>
      </c>
      <c r="J609" s="568" t="s">
        <v>468</v>
      </c>
      <c r="L609" s="373">
        <v>1</v>
      </c>
    </row>
    <row r="610" spans="1:12" ht="21">
      <c r="A610" s="565">
        <v>605</v>
      </c>
      <c r="B610" s="560" t="s">
        <v>277</v>
      </c>
      <c r="C610" s="560" t="s">
        <v>462</v>
      </c>
      <c r="D610" s="560" t="s">
        <v>291</v>
      </c>
      <c r="E610" s="560">
        <v>3459</v>
      </c>
      <c r="F610" s="560">
        <v>96</v>
      </c>
      <c r="G610" s="560">
        <f>G585</f>
        <v>0</v>
      </c>
      <c r="H610" s="566">
        <v>1320.7331042382589</v>
      </c>
      <c r="I610" s="567" t="s">
        <v>472</v>
      </c>
      <c r="J610" s="568" t="s">
        <v>468</v>
      </c>
      <c r="L610" s="373">
        <v>1</v>
      </c>
    </row>
    <row r="611" spans="1:12" ht="21">
      <c r="A611" s="565">
        <v>606</v>
      </c>
      <c r="B611" s="560" t="s">
        <v>277</v>
      </c>
      <c r="C611" s="560" t="s">
        <v>462</v>
      </c>
      <c r="D611" s="560" t="s">
        <v>291</v>
      </c>
      <c r="E611" s="560">
        <v>1392</v>
      </c>
      <c r="F611" s="560">
        <v>53</v>
      </c>
      <c r="G611" s="560">
        <f t="shared" ref="G611:G613" si="12">G586</f>
        <v>0</v>
      </c>
      <c r="H611" s="566">
        <v>531.50057273768607</v>
      </c>
      <c r="I611" s="567" t="s">
        <v>473</v>
      </c>
      <c r="J611" s="568" t="s">
        <v>474</v>
      </c>
      <c r="L611" s="373">
        <v>1</v>
      </c>
    </row>
    <row r="612" spans="1:12" ht="21">
      <c r="A612" s="565">
        <v>607</v>
      </c>
      <c r="B612" s="560" t="s">
        <v>277</v>
      </c>
      <c r="C612" s="560" t="s">
        <v>462</v>
      </c>
      <c r="D612" s="560" t="s">
        <v>291</v>
      </c>
      <c r="E612" s="560">
        <v>1434</v>
      </c>
      <c r="F612" s="560">
        <v>62</v>
      </c>
      <c r="G612" s="560">
        <f t="shared" si="12"/>
        <v>0</v>
      </c>
      <c r="H612" s="566">
        <v>547.53722794959901</v>
      </c>
      <c r="I612" s="567" t="s">
        <v>475</v>
      </c>
      <c r="J612" s="568" t="s">
        <v>474</v>
      </c>
      <c r="L612" s="373">
        <v>1</v>
      </c>
    </row>
    <row r="613" spans="1:12" ht="21">
      <c r="A613" s="565">
        <v>608</v>
      </c>
      <c r="B613" s="560" t="s">
        <v>277</v>
      </c>
      <c r="C613" s="560" t="s">
        <v>462</v>
      </c>
      <c r="D613" s="560" t="s">
        <v>291</v>
      </c>
      <c r="E613" s="560">
        <v>1384</v>
      </c>
      <c r="F613" s="560">
        <v>55</v>
      </c>
      <c r="G613" s="560">
        <f t="shared" si="12"/>
        <v>0</v>
      </c>
      <c r="H613" s="566">
        <v>528.44597174494072</v>
      </c>
      <c r="I613" s="567" t="s">
        <v>475</v>
      </c>
      <c r="J613" s="568" t="s">
        <v>474</v>
      </c>
      <c r="L613" s="373">
        <v>1</v>
      </c>
    </row>
    <row r="614" spans="1:12">
      <c r="A614" s="565">
        <v>609</v>
      </c>
      <c r="B614" s="560" t="s">
        <v>277</v>
      </c>
      <c r="C614" s="560" t="s">
        <v>510</v>
      </c>
      <c r="D614" s="560" t="s">
        <v>291</v>
      </c>
      <c r="E614" s="560">
        <v>288</v>
      </c>
      <c r="F614" s="560">
        <v>11</v>
      </c>
      <c r="G614" s="560" t="s">
        <v>286</v>
      </c>
      <c r="H614" s="566">
        <v>8.0785413744740531</v>
      </c>
      <c r="I614" s="567" t="s">
        <v>464</v>
      </c>
      <c r="J614" s="568" t="s">
        <v>288</v>
      </c>
      <c r="L614" s="373">
        <v>1</v>
      </c>
    </row>
    <row r="615" spans="1:12">
      <c r="A615" s="565">
        <v>610</v>
      </c>
      <c r="B615" s="560" t="s">
        <v>278</v>
      </c>
      <c r="C615" s="560" t="s">
        <v>510</v>
      </c>
      <c r="D615" s="560" t="s">
        <v>294</v>
      </c>
      <c r="E615" s="560">
        <v>218</v>
      </c>
      <c r="F615" s="560">
        <v>6</v>
      </c>
      <c r="G615" s="560" t="s">
        <v>286</v>
      </c>
      <c r="H615" s="566">
        <v>6.1150070126227209</v>
      </c>
      <c r="I615" s="567" t="s">
        <v>464</v>
      </c>
      <c r="J615" s="568" t="s">
        <v>288</v>
      </c>
      <c r="L615" s="373">
        <v>1</v>
      </c>
    </row>
    <row r="616" spans="1:12">
      <c r="A616" s="565">
        <v>611</v>
      </c>
      <c r="B616" s="560" t="s">
        <v>277</v>
      </c>
      <c r="C616" s="560" t="s">
        <v>510</v>
      </c>
      <c r="D616" s="560" t="s">
        <v>291</v>
      </c>
      <c r="E616" s="560">
        <v>602</v>
      </c>
      <c r="F616" s="560">
        <v>14</v>
      </c>
      <c r="G616" s="560" t="s">
        <v>286</v>
      </c>
      <c r="H616" s="566">
        <v>16.88639551192146</v>
      </c>
      <c r="I616" s="567" t="s">
        <v>464</v>
      </c>
      <c r="J616" s="568" t="s">
        <v>288</v>
      </c>
      <c r="L616" s="373">
        <v>1</v>
      </c>
    </row>
    <row r="617" spans="1:12">
      <c r="A617" s="565">
        <v>612</v>
      </c>
      <c r="B617" s="560" t="s">
        <v>277</v>
      </c>
      <c r="C617" s="560" t="s">
        <v>510</v>
      </c>
      <c r="D617" s="560" t="s">
        <v>292</v>
      </c>
      <c r="E617" s="560">
        <v>352</v>
      </c>
      <c r="F617" s="560">
        <v>12</v>
      </c>
      <c r="G617" s="560" t="s">
        <v>286</v>
      </c>
      <c r="H617" s="566">
        <v>9.8737727910238426</v>
      </c>
      <c r="I617" s="567" t="s">
        <v>464</v>
      </c>
      <c r="J617" s="568" t="s">
        <v>288</v>
      </c>
      <c r="L617" s="373">
        <v>1</v>
      </c>
    </row>
    <row r="618" spans="1:12">
      <c r="A618" s="565">
        <v>613</v>
      </c>
      <c r="B618" s="560" t="s">
        <v>277</v>
      </c>
      <c r="C618" s="560" t="s">
        <v>510</v>
      </c>
      <c r="D618" s="560" t="s">
        <v>291</v>
      </c>
      <c r="E618" s="560">
        <v>325</v>
      </c>
      <c r="F618" s="560">
        <v>14</v>
      </c>
      <c r="G618" s="560" t="s">
        <v>286</v>
      </c>
      <c r="H618" s="566">
        <v>9.1164095371669003</v>
      </c>
      <c r="I618" s="567" t="s">
        <v>464</v>
      </c>
      <c r="J618" s="568" t="s">
        <v>288</v>
      </c>
      <c r="L618" s="373">
        <v>1</v>
      </c>
    </row>
    <row r="619" spans="1:12">
      <c r="A619" s="565">
        <v>614</v>
      </c>
      <c r="B619" s="560" t="s">
        <v>277</v>
      </c>
      <c r="C619" s="560" t="s">
        <v>510</v>
      </c>
      <c r="D619" s="560" t="s">
        <v>291</v>
      </c>
      <c r="E619" s="560">
        <v>202</v>
      </c>
      <c r="F619" s="560">
        <v>10</v>
      </c>
      <c r="G619" s="560" t="s">
        <v>286</v>
      </c>
      <c r="H619" s="566">
        <v>5.6661991584852736</v>
      </c>
      <c r="I619" s="567" t="s">
        <v>464</v>
      </c>
      <c r="J619" s="568" t="s">
        <v>288</v>
      </c>
      <c r="L619" s="373">
        <v>1</v>
      </c>
    </row>
    <row r="620" spans="1:12">
      <c r="A620" s="565">
        <v>615</v>
      </c>
      <c r="B620" s="560" t="s">
        <v>278</v>
      </c>
      <c r="C620" s="560" t="s">
        <v>510</v>
      </c>
      <c r="D620" s="560" t="s">
        <v>291</v>
      </c>
      <c r="E620" s="560">
        <v>180</v>
      </c>
      <c r="F620" s="560">
        <v>4</v>
      </c>
      <c r="G620" s="560" t="s">
        <v>286</v>
      </c>
      <c r="H620" s="566">
        <v>5.0490883590462836</v>
      </c>
      <c r="I620" s="567" t="s">
        <v>464</v>
      </c>
      <c r="J620" s="568" t="s">
        <v>288</v>
      </c>
      <c r="L620" s="373">
        <v>1</v>
      </c>
    </row>
    <row r="621" spans="1:12">
      <c r="A621" s="565">
        <v>616</v>
      </c>
      <c r="B621" s="560" t="s">
        <v>277</v>
      </c>
      <c r="C621" s="560" t="s">
        <v>510</v>
      </c>
      <c r="D621" s="560" t="s">
        <v>292</v>
      </c>
      <c r="E621" s="560">
        <v>367</v>
      </c>
      <c r="F621" s="560"/>
      <c r="G621" s="560" t="s">
        <v>286</v>
      </c>
      <c r="H621" s="566">
        <v>10.2945301542777</v>
      </c>
      <c r="I621" s="567" t="s">
        <v>464</v>
      </c>
      <c r="J621" s="568" t="s">
        <v>288</v>
      </c>
      <c r="L621" s="373">
        <v>1</v>
      </c>
    </row>
    <row r="622" spans="1:12">
      <c r="A622" s="565">
        <v>617</v>
      </c>
      <c r="B622" s="560" t="s">
        <v>277</v>
      </c>
      <c r="C622" s="560" t="s">
        <v>510</v>
      </c>
      <c r="D622" s="560" t="s">
        <v>291</v>
      </c>
      <c r="E622" s="560">
        <v>265</v>
      </c>
      <c r="F622" s="560">
        <v>8</v>
      </c>
      <c r="G622" s="560" t="s">
        <v>286</v>
      </c>
      <c r="H622" s="566">
        <v>7.433380084151473</v>
      </c>
      <c r="I622" s="567" t="s">
        <v>464</v>
      </c>
      <c r="J622" s="568" t="s">
        <v>288</v>
      </c>
      <c r="L622" s="373">
        <v>1</v>
      </c>
    </row>
    <row r="623" spans="1:12">
      <c r="A623" s="565">
        <v>618</v>
      </c>
      <c r="B623" s="560" t="s">
        <v>277</v>
      </c>
      <c r="C623" s="560" t="s">
        <v>510</v>
      </c>
      <c r="D623" s="560" t="s">
        <v>291</v>
      </c>
      <c r="E623" s="560">
        <v>333</v>
      </c>
      <c r="F623" s="560">
        <v>13</v>
      </c>
      <c r="G623" s="560" t="s">
        <v>286</v>
      </c>
      <c r="H623" s="566">
        <v>9.3408134642356249</v>
      </c>
      <c r="I623" s="567" t="s">
        <v>464</v>
      </c>
      <c r="J623" s="568" t="s">
        <v>288</v>
      </c>
      <c r="L623" s="373">
        <v>1</v>
      </c>
    </row>
    <row r="624" spans="1:12">
      <c r="A624" s="565">
        <v>619</v>
      </c>
      <c r="B624" s="560" t="s">
        <v>277</v>
      </c>
      <c r="C624" s="560" t="s">
        <v>510</v>
      </c>
      <c r="D624" s="560" t="s">
        <v>291</v>
      </c>
      <c r="E624" s="560">
        <v>445</v>
      </c>
      <c r="F624" s="560">
        <v>13</v>
      </c>
      <c r="G624" s="560" t="s">
        <v>286</v>
      </c>
      <c r="H624" s="566">
        <v>12.482468443197757</v>
      </c>
      <c r="I624" s="567" t="s">
        <v>464</v>
      </c>
      <c r="J624" s="568" t="s">
        <v>288</v>
      </c>
      <c r="L624" s="373">
        <v>1</v>
      </c>
    </row>
    <row r="625" spans="1:12">
      <c r="A625" s="565">
        <v>620</v>
      </c>
      <c r="B625" s="560" t="s">
        <v>277</v>
      </c>
      <c r="C625" s="560" t="s">
        <v>510</v>
      </c>
      <c r="D625" s="560" t="s">
        <v>291</v>
      </c>
      <c r="E625" s="560">
        <v>418</v>
      </c>
      <c r="F625" s="560">
        <v>14</v>
      </c>
      <c r="G625" s="560" t="s">
        <v>286</v>
      </c>
      <c r="H625" s="566">
        <v>11.725105189340814</v>
      </c>
      <c r="I625" s="567" t="s">
        <v>464</v>
      </c>
      <c r="J625" s="568" t="s">
        <v>288</v>
      </c>
      <c r="L625" s="373">
        <v>1</v>
      </c>
    </row>
    <row r="626" spans="1:12">
      <c r="A626" s="565">
        <v>621</v>
      </c>
      <c r="B626" s="560" t="s">
        <v>277</v>
      </c>
      <c r="C626" s="560" t="s">
        <v>510</v>
      </c>
      <c r="D626" s="560" t="s">
        <v>291</v>
      </c>
      <c r="E626" s="560">
        <v>361</v>
      </c>
      <c r="F626" s="560">
        <v>6</v>
      </c>
      <c r="G626" s="560" t="s">
        <v>286</v>
      </c>
      <c r="H626" s="566">
        <v>10.126227208976157</v>
      </c>
      <c r="I626" s="567" t="s">
        <v>464</v>
      </c>
      <c r="J626" s="568" t="s">
        <v>288</v>
      </c>
      <c r="L626" s="373">
        <v>1</v>
      </c>
    </row>
    <row r="627" spans="1:12">
      <c r="A627" s="565">
        <v>622</v>
      </c>
      <c r="B627" s="560" t="s">
        <v>278</v>
      </c>
      <c r="C627" s="560" t="s">
        <v>510</v>
      </c>
      <c r="D627" s="560" t="s">
        <v>291</v>
      </c>
      <c r="E627" s="560">
        <v>551</v>
      </c>
      <c r="F627" s="560">
        <v>18</v>
      </c>
      <c r="G627" s="560" t="s">
        <v>286</v>
      </c>
      <c r="H627" s="566">
        <v>15.455820476858346</v>
      </c>
      <c r="I627" s="567" t="s">
        <v>464</v>
      </c>
      <c r="J627" s="568" t="s">
        <v>474</v>
      </c>
      <c r="L627" s="373">
        <v>1</v>
      </c>
    </row>
    <row r="628" spans="1:12">
      <c r="A628" s="565">
        <v>623</v>
      </c>
      <c r="B628" s="560" t="s">
        <v>277</v>
      </c>
      <c r="C628" s="560" t="s">
        <v>510</v>
      </c>
      <c r="D628" s="560" t="s">
        <v>292</v>
      </c>
      <c r="E628" s="560">
        <v>361</v>
      </c>
      <c r="F628" s="560">
        <v>8</v>
      </c>
      <c r="G628" s="560" t="s">
        <v>34</v>
      </c>
      <c r="H628" s="566">
        <v>4628.2051282051279</v>
      </c>
      <c r="I628" s="567" t="s">
        <v>464</v>
      </c>
      <c r="J628" s="568" t="s">
        <v>288</v>
      </c>
      <c r="L628" s="373">
        <v>1</v>
      </c>
    </row>
    <row r="629" spans="1:12">
      <c r="A629" s="565">
        <v>624</v>
      </c>
      <c r="B629" s="560" t="s">
        <v>277</v>
      </c>
      <c r="C629" s="560" t="s">
        <v>510</v>
      </c>
      <c r="D629" s="560" t="s">
        <v>504</v>
      </c>
      <c r="E629" s="560">
        <v>278</v>
      </c>
      <c r="F629" s="560">
        <v>12</v>
      </c>
      <c r="G629" s="560" t="str">
        <f>G627</f>
        <v>węgiel</v>
      </c>
      <c r="H629" s="566">
        <v>7.7980364656381491</v>
      </c>
      <c r="I629" s="567" t="s">
        <v>464</v>
      </c>
      <c r="J629" s="568" t="s">
        <v>476</v>
      </c>
      <c r="L629" s="373">
        <v>1</v>
      </c>
    </row>
    <row r="630" spans="1:12">
      <c r="A630" s="565">
        <v>625</v>
      </c>
      <c r="B630" s="560" t="s">
        <v>277</v>
      </c>
      <c r="C630" s="560" t="s">
        <v>510</v>
      </c>
      <c r="D630" s="560" t="s">
        <v>291</v>
      </c>
      <c r="E630" s="560">
        <v>233</v>
      </c>
      <c r="F630" s="560">
        <v>10</v>
      </c>
      <c r="G630" s="560" t="str">
        <f>G629</f>
        <v>węgiel</v>
      </c>
      <c r="H630" s="566">
        <v>6.5357643758765782</v>
      </c>
      <c r="I630" s="567" t="s">
        <v>464</v>
      </c>
      <c r="J630" s="568" t="s">
        <v>288</v>
      </c>
      <c r="L630" s="373">
        <v>1</v>
      </c>
    </row>
    <row r="631" spans="1:12">
      <c r="A631" s="565">
        <v>626</v>
      </c>
      <c r="B631" s="560" t="s">
        <v>277</v>
      </c>
      <c r="C631" s="560" t="s">
        <v>510</v>
      </c>
      <c r="D631" s="560" t="s">
        <v>293</v>
      </c>
      <c r="E631" s="560">
        <v>464</v>
      </c>
      <c r="F631" s="560">
        <v>15</v>
      </c>
      <c r="G631" s="560" t="str">
        <f t="shared" ref="G631:G652" si="13">G630</f>
        <v>węgiel</v>
      </c>
      <c r="H631" s="566">
        <v>13.015427769985974</v>
      </c>
      <c r="I631" s="567" t="s">
        <v>464</v>
      </c>
      <c r="J631" s="568" t="s">
        <v>288</v>
      </c>
      <c r="L631" s="373">
        <v>1</v>
      </c>
    </row>
    <row r="632" spans="1:12">
      <c r="A632" s="565">
        <v>627</v>
      </c>
      <c r="B632" s="560" t="s">
        <v>277</v>
      </c>
      <c r="C632" s="560" t="s">
        <v>510</v>
      </c>
      <c r="D632" s="560" t="s">
        <v>294</v>
      </c>
      <c r="E632" s="560">
        <v>491</v>
      </c>
      <c r="F632" s="560">
        <v>20</v>
      </c>
      <c r="G632" s="560" t="str">
        <f t="shared" si="13"/>
        <v>węgiel</v>
      </c>
      <c r="H632" s="566">
        <v>13.772791023842919</v>
      </c>
      <c r="I632" s="567" t="s">
        <v>464</v>
      </c>
      <c r="J632" s="568" t="s">
        <v>288</v>
      </c>
      <c r="L632" s="373">
        <v>1</v>
      </c>
    </row>
    <row r="633" spans="1:12">
      <c r="A633" s="565">
        <v>628</v>
      </c>
      <c r="B633" s="560" t="s">
        <v>277</v>
      </c>
      <c r="C633" s="560" t="s">
        <v>510</v>
      </c>
      <c r="D633" s="560" t="s">
        <v>294</v>
      </c>
      <c r="E633" s="560">
        <v>260</v>
      </c>
      <c r="F633" s="560">
        <v>11</v>
      </c>
      <c r="G633" s="560" t="str">
        <f t="shared" si="13"/>
        <v>węgiel</v>
      </c>
      <c r="H633" s="566">
        <v>7.2931276297335206</v>
      </c>
      <c r="I633" s="567" t="s">
        <v>464</v>
      </c>
      <c r="J633" s="568" t="s">
        <v>288</v>
      </c>
      <c r="L633" s="373">
        <v>1</v>
      </c>
    </row>
    <row r="634" spans="1:12">
      <c r="A634" s="565">
        <v>629</v>
      </c>
      <c r="B634" s="560" t="s">
        <v>277</v>
      </c>
      <c r="C634" s="560" t="s">
        <v>510</v>
      </c>
      <c r="D634" s="560" t="s">
        <v>294</v>
      </c>
      <c r="E634" s="560">
        <v>231</v>
      </c>
      <c r="F634" s="560">
        <v>8</v>
      </c>
      <c r="G634" s="560" t="str">
        <f t="shared" si="13"/>
        <v>węgiel</v>
      </c>
      <c r="H634" s="566">
        <v>6.4796633941093971</v>
      </c>
      <c r="I634" s="567" t="s">
        <v>464</v>
      </c>
      <c r="J634" s="568" t="s">
        <v>288</v>
      </c>
      <c r="L634" s="373">
        <v>1</v>
      </c>
    </row>
    <row r="635" spans="1:12">
      <c r="A635" s="565">
        <v>630</v>
      </c>
      <c r="B635" s="560" t="s">
        <v>277</v>
      </c>
      <c r="C635" s="560" t="s">
        <v>510</v>
      </c>
      <c r="D635" s="560" t="s">
        <v>290</v>
      </c>
      <c r="E635" s="560">
        <v>322</v>
      </c>
      <c r="F635" s="560">
        <v>15</v>
      </c>
      <c r="G635" s="560" t="str">
        <f t="shared" si="13"/>
        <v>węgiel</v>
      </c>
      <c r="H635" s="566">
        <v>9.0322580645161299</v>
      </c>
      <c r="I635" s="567" t="s">
        <v>464</v>
      </c>
      <c r="J635" s="568" t="s">
        <v>288</v>
      </c>
      <c r="L635" s="373">
        <v>1</v>
      </c>
    </row>
    <row r="636" spans="1:12">
      <c r="A636" s="565">
        <v>631</v>
      </c>
      <c r="B636" s="560" t="s">
        <v>277</v>
      </c>
      <c r="C636" s="560" t="s">
        <v>510</v>
      </c>
      <c r="D636" s="560" t="s">
        <v>292</v>
      </c>
      <c r="E636" s="560">
        <v>287</v>
      </c>
      <c r="F636" s="560"/>
      <c r="G636" s="560" t="str">
        <f t="shared" si="13"/>
        <v>węgiel</v>
      </c>
      <c r="H636" s="566">
        <v>8.0504908835904629</v>
      </c>
      <c r="I636" s="567" t="s">
        <v>464</v>
      </c>
      <c r="J636" s="568" t="s">
        <v>288</v>
      </c>
      <c r="L636" s="373">
        <v>1</v>
      </c>
    </row>
    <row r="637" spans="1:12">
      <c r="A637" s="565">
        <v>632</v>
      </c>
      <c r="B637" s="560" t="s">
        <v>277</v>
      </c>
      <c r="C637" s="560" t="s">
        <v>510</v>
      </c>
      <c r="D637" s="560" t="s">
        <v>291</v>
      </c>
      <c r="E637" s="560">
        <v>467</v>
      </c>
      <c r="F637" s="560"/>
      <c r="G637" s="560" t="str">
        <f t="shared" si="13"/>
        <v>węgiel</v>
      </c>
      <c r="H637" s="566">
        <v>13.099579242636747</v>
      </c>
      <c r="I637" s="567" t="s">
        <v>464</v>
      </c>
      <c r="J637" s="568" t="s">
        <v>288</v>
      </c>
      <c r="L637" s="373">
        <v>1</v>
      </c>
    </row>
    <row r="638" spans="1:12">
      <c r="A638" s="565">
        <v>633</v>
      </c>
      <c r="B638" s="560" t="s">
        <v>277</v>
      </c>
      <c r="C638" s="560" t="s">
        <v>510</v>
      </c>
      <c r="D638" s="560" t="s">
        <v>291</v>
      </c>
      <c r="E638" s="560">
        <v>360</v>
      </c>
      <c r="F638" s="560">
        <v>12</v>
      </c>
      <c r="G638" s="560" t="str">
        <f t="shared" si="13"/>
        <v>węgiel</v>
      </c>
      <c r="H638" s="566">
        <v>10.098176718092567</v>
      </c>
      <c r="I638" s="567" t="s">
        <v>464</v>
      </c>
      <c r="J638" s="568" t="s">
        <v>288</v>
      </c>
      <c r="L638" s="373">
        <v>1</v>
      </c>
    </row>
    <row r="639" spans="1:12">
      <c r="A639" s="565">
        <v>634</v>
      </c>
      <c r="B639" s="560" t="s">
        <v>277</v>
      </c>
      <c r="C639" s="560" t="s">
        <v>510</v>
      </c>
      <c r="D639" s="560" t="s">
        <v>292</v>
      </c>
      <c r="E639" s="560">
        <v>181</v>
      </c>
      <c r="F639" s="560">
        <v>8</v>
      </c>
      <c r="G639" s="560" t="str">
        <f t="shared" si="13"/>
        <v>węgiel</v>
      </c>
      <c r="H639" s="566">
        <v>5.0771388499298737</v>
      </c>
      <c r="I639" s="567" t="s">
        <v>464</v>
      </c>
      <c r="J639" s="568" t="s">
        <v>288</v>
      </c>
      <c r="L639" s="373">
        <v>1</v>
      </c>
    </row>
    <row r="640" spans="1:12">
      <c r="A640" s="565">
        <v>635</v>
      </c>
      <c r="B640" s="560" t="s">
        <v>278</v>
      </c>
      <c r="C640" s="560" t="s">
        <v>510</v>
      </c>
      <c r="D640" s="560" t="s">
        <v>291</v>
      </c>
      <c r="E640" s="560">
        <v>165</v>
      </c>
      <c r="F640" s="560">
        <v>5</v>
      </c>
      <c r="G640" s="560" t="str">
        <f t="shared" si="13"/>
        <v>węgiel</v>
      </c>
      <c r="H640" s="566">
        <v>4.6283309957924264</v>
      </c>
      <c r="I640" s="567" t="s">
        <v>464</v>
      </c>
      <c r="J640" s="568" t="s">
        <v>288</v>
      </c>
      <c r="L640" s="373">
        <v>1</v>
      </c>
    </row>
    <row r="641" spans="1:12">
      <c r="A641" s="565">
        <v>636</v>
      </c>
      <c r="B641" s="560" t="s">
        <v>277</v>
      </c>
      <c r="C641" s="560" t="s">
        <v>510</v>
      </c>
      <c r="D641" s="560" t="s">
        <v>291</v>
      </c>
      <c r="E641" s="560">
        <v>176</v>
      </c>
      <c r="F641" s="560">
        <v>8</v>
      </c>
      <c r="G641" s="560" t="str">
        <f t="shared" si="13"/>
        <v>węgiel</v>
      </c>
      <c r="H641" s="566">
        <v>4.9368863955119213</v>
      </c>
      <c r="I641" s="567" t="s">
        <v>464</v>
      </c>
      <c r="J641" s="568" t="s">
        <v>288</v>
      </c>
      <c r="L641" s="373">
        <v>1</v>
      </c>
    </row>
    <row r="642" spans="1:12">
      <c r="A642" s="565">
        <v>637</v>
      </c>
      <c r="B642" s="560" t="s">
        <v>278</v>
      </c>
      <c r="C642" s="560" t="s">
        <v>510</v>
      </c>
      <c r="D642" s="560" t="s">
        <v>294</v>
      </c>
      <c r="E642" s="560">
        <v>242</v>
      </c>
      <c r="F642" s="560">
        <v>5</v>
      </c>
      <c r="G642" s="560" t="str">
        <f t="shared" si="13"/>
        <v>węgiel</v>
      </c>
      <c r="H642" s="566">
        <v>6.788218793828892</v>
      </c>
      <c r="I642" s="567" t="s">
        <v>464</v>
      </c>
      <c r="J642" s="568" t="s">
        <v>288</v>
      </c>
      <c r="L642" s="373">
        <v>1</v>
      </c>
    </row>
    <row r="643" spans="1:12">
      <c r="A643" s="565">
        <v>638</v>
      </c>
      <c r="B643" s="560" t="s">
        <v>278</v>
      </c>
      <c r="C643" s="560" t="s">
        <v>510</v>
      </c>
      <c r="D643" s="560" t="s">
        <v>291</v>
      </c>
      <c r="E643" s="560">
        <v>167</v>
      </c>
      <c r="F643" s="560">
        <v>9</v>
      </c>
      <c r="G643" s="560" t="str">
        <f t="shared" si="13"/>
        <v>węgiel</v>
      </c>
      <c r="H643" s="566">
        <v>4.6844319775596075</v>
      </c>
      <c r="I643" s="567" t="s">
        <v>464</v>
      </c>
      <c r="J643" s="568" t="s">
        <v>288</v>
      </c>
      <c r="L643" s="373">
        <v>1</v>
      </c>
    </row>
    <row r="644" spans="1:12">
      <c r="A644" s="565">
        <v>639</v>
      </c>
      <c r="B644" s="560" t="s">
        <v>277</v>
      </c>
      <c r="C644" s="560" t="s">
        <v>510</v>
      </c>
      <c r="D644" s="560" t="s">
        <v>294</v>
      </c>
      <c r="E644" s="560">
        <v>269</v>
      </c>
      <c r="F644" s="560">
        <v>14</v>
      </c>
      <c r="G644" s="560" t="str">
        <f t="shared" si="13"/>
        <v>węgiel</v>
      </c>
      <c r="H644" s="566">
        <v>7.5455820476858344</v>
      </c>
      <c r="I644" s="567" t="s">
        <v>464</v>
      </c>
      <c r="J644" s="568" t="s">
        <v>288</v>
      </c>
      <c r="L644" s="373">
        <v>1</v>
      </c>
    </row>
    <row r="645" spans="1:12">
      <c r="A645" s="565">
        <v>640</v>
      </c>
      <c r="B645" s="560" t="s">
        <v>277</v>
      </c>
      <c r="C645" s="560" t="s">
        <v>462</v>
      </c>
      <c r="D645" s="560" t="s">
        <v>293</v>
      </c>
      <c r="E645" s="560">
        <v>375</v>
      </c>
      <c r="F645" s="560">
        <v>16</v>
      </c>
      <c r="G645" s="560" t="str">
        <f t="shared" si="13"/>
        <v>węgiel</v>
      </c>
      <c r="H645" s="566">
        <v>10.518934081346424</v>
      </c>
      <c r="I645" s="567" t="s">
        <v>464</v>
      </c>
      <c r="J645" s="568" t="s">
        <v>288</v>
      </c>
      <c r="L645" s="373">
        <v>1</v>
      </c>
    </row>
    <row r="646" spans="1:12">
      <c r="A646" s="565">
        <v>641</v>
      </c>
      <c r="B646" s="560" t="s">
        <v>277</v>
      </c>
      <c r="C646" s="560" t="s">
        <v>462</v>
      </c>
      <c r="D646" s="560" t="s">
        <v>294</v>
      </c>
      <c r="E646" s="560">
        <v>891</v>
      </c>
      <c r="F646" s="560">
        <v>36</v>
      </c>
      <c r="G646" s="560" t="str">
        <f t="shared" si="13"/>
        <v>węgiel</v>
      </c>
      <c r="H646" s="566">
        <v>24.992987377279103</v>
      </c>
      <c r="I646" s="567" t="s">
        <v>464</v>
      </c>
      <c r="J646" s="568" t="s">
        <v>288</v>
      </c>
      <c r="L646" s="373">
        <v>1</v>
      </c>
    </row>
    <row r="647" spans="1:12">
      <c r="A647" s="565">
        <v>642</v>
      </c>
      <c r="B647" s="560" t="s">
        <v>277</v>
      </c>
      <c r="C647" s="560" t="s">
        <v>462</v>
      </c>
      <c r="D647" s="560" t="s">
        <v>293</v>
      </c>
      <c r="E647" s="560">
        <v>525</v>
      </c>
      <c r="F647" s="560">
        <v>14</v>
      </c>
      <c r="G647" s="560" t="str">
        <f t="shared" si="13"/>
        <v>węgiel</v>
      </c>
      <c r="H647" s="566">
        <v>14.726507713884994</v>
      </c>
      <c r="I647" s="567" t="s">
        <v>464</v>
      </c>
      <c r="J647" s="568" t="s">
        <v>474</v>
      </c>
      <c r="L647" s="373">
        <v>1</v>
      </c>
    </row>
    <row r="648" spans="1:12">
      <c r="A648" s="565">
        <v>643</v>
      </c>
      <c r="B648" s="560" t="s">
        <v>278</v>
      </c>
      <c r="C648" s="560" t="s">
        <v>462</v>
      </c>
      <c r="D648" s="560" t="s">
        <v>291</v>
      </c>
      <c r="E648" s="560">
        <v>141</v>
      </c>
      <c r="F648" s="560">
        <v>3</v>
      </c>
      <c r="G648" s="560" t="str">
        <f t="shared" si="13"/>
        <v>węgiel</v>
      </c>
      <c r="H648" s="566">
        <v>3.9551192145862553</v>
      </c>
      <c r="I648" s="567" t="s">
        <v>464</v>
      </c>
      <c r="J648" s="568" t="s">
        <v>288</v>
      </c>
      <c r="L648" s="373">
        <v>1</v>
      </c>
    </row>
    <row r="649" spans="1:12">
      <c r="A649" s="565">
        <v>644</v>
      </c>
      <c r="B649" s="560" t="s">
        <v>277</v>
      </c>
      <c r="C649" s="560" t="s">
        <v>462</v>
      </c>
      <c r="D649" s="560" t="s">
        <v>291</v>
      </c>
      <c r="E649" s="560">
        <v>333</v>
      </c>
      <c r="F649" s="560">
        <v>20</v>
      </c>
      <c r="G649" s="560" t="str">
        <f t="shared" si="13"/>
        <v>węgiel</v>
      </c>
      <c r="H649" s="566">
        <v>9.3408134642356249</v>
      </c>
      <c r="I649" s="567" t="s">
        <v>464</v>
      </c>
      <c r="J649" s="568" t="s">
        <v>474</v>
      </c>
      <c r="L649" s="373">
        <v>1</v>
      </c>
    </row>
    <row r="650" spans="1:12" ht="21">
      <c r="A650" s="565">
        <v>645</v>
      </c>
      <c r="B650" s="560" t="s">
        <v>277</v>
      </c>
      <c r="C650" s="560" t="s">
        <v>462</v>
      </c>
      <c r="D650" s="560" t="s">
        <v>291</v>
      </c>
      <c r="E650" s="560">
        <v>1977</v>
      </c>
      <c r="F650" s="560">
        <v>49</v>
      </c>
      <c r="G650" s="560" t="str">
        <f t="shared" si="13"/>
        <v>węgiel</v>
      </c>
      <c r="H650" s="566">
        <v>55.455820476858349</v>
      </c>
      <c r="I650" s="567" t="s">
        <v>464</v>
      </c>
      <c r="J650" s="568" t="s">
        <v>477</v>
      </c>
      <c r="L650" s="373">
        <v>1</v>
      </c>
    </row>
    <row r="651" spans="1:12">
      <c r="A651" s="565">
        <v>646</v>
      </c>
      <c r="B651" s="560" t="s">
        <v>277</v>
      </c>
      <c r="C651" s="560" t="s">
        <v>462</v>
      </c>
      <c r="D651" s="560" t="s">
        <v>292</v>
      </c>
      <c r="E651" s="560">
        <v>224</v>
      </c>
      <c r="F651" s="560">
        <v>8</v>
      </c>
      <c r="G651" s="560" t="str">
        <f t="shared" si="13"/>
        <v>węgiel</v>
      </c>
      <c r="H651" s="566">
        <v>6.2833099579242635</v>
      </c>
      <c r="I651" s="567" t="s">
        <v>464</v>
      </c>
      <c r="J651" s="568" t="s">
        <v>474</v>
      </c>
      <c r="L651" s="373">
        <v>1</v>
      </c>
    </row>
    <row r="652" spans="1:12">
      <c r="A652" s="565">
        <v>647</v>
      </c>
      <c r="B652" s="560" t="s">
        <v>277</v>
      </c>
      <c r="C652" s="560" t="s">
        <v>462</v>
      </c>
      <c r="D652" s="560" t="s">
        <v>292</v>
      </c>
      <c r="E652" s="560">
        <v>277</v>
      </c>
      <c r="F652" s="560">
        <v>15</v>
      </c>
      <c r="G652" s="560" t="str">
        <f t="shared" si="13"/>
        <v>węgiel</v>
      </c>
      <c r="H652" s="566">
        <v>7.7699859747545581</v>
      </c>
      <c r="I652" s="567" t="s">
        <v>464</v>
      </c>
      <c r="J652" s="568" t="s">
        <v>474</v>
      </c>
      <c r="L652" s="373">
        <v>1</v>
      </c>
    </row>
    <row r="653" spans="1:12">
      <c r="A653" s="565">
        <v>648</v>
      </c>
      <c r="B653" s="560" t="s">
        <v>277</v>
      </c>
      <c r="C653" s="560" t="s">
        <v>462</v>
      </c>
      <c r="D653" s="560" t="s">
        <v>291</v>
      </c>
      <c r="E653" s="560">
        <v>987</v>
      </c>
      <c r="F653" s="560">
        <v>53</v>
      </c>
      <c r="G653" s="560">
        <f>G610</f>
        <v>0</v>
      </c>
      <c r="H653" s="566">
        <v>376.86139747995418</v>
      </c>
      <c r="I653" s="567" t="s">
        <v>464</v>
      </c>
      <c r="J653" s="568" t="s">
        <v>288</v>
      </c>
      <c r="L653" s="373">
        <v>1</v>
      </c>
    </row>
    <row r="654" spans="1:12">
      <c r="A654" s="565">
        <v>649</v>
      </c>
      <c r="B654" s="560" t="s">
        <v>277</v>
      </c>
      <c r="C654" s="560" t="s">
        <v>462</v>
      </c>
      <c r="D654" s="560" t="s">
        <v>291</v>
      </c>
      <c r="E654" s="560">
        <v>340</v>
      </c>
      <c r="F654" s="560">
        <v>16</v>
      </c>
      <c r="G654" s="560">
        <f t="shared" ref="G654:G656" si="14">G611</f>
        <v>0</v>
      </c>
      <c r="H654" s="566">
        <v>129.8205421916762</v>
      </c>
      <c r="I654" s="567" t="s">
        <v>464</v>
      </c>
      <c r="J654" s="568" t="s">
        <v>288</v>
      </c>
      <c r="L654" s="373">
        <v>1</v>
      </c>
    </row>
    <row r="655" spans="1:12" ht="21">
      <c r="A655" s="565">
        <v>650</v>
      </c>
      <c r="B655" s="560" t="s">
        <v>278</v>
      </c>
      <c r="C655" s="560" t="s">
        <v>462</v>
      </c>
      <c r="D655" s="560" t="s">
        <v>291</v>
      </c>
      <c r="E655" s="560">
        <v>83</v>
      </c>
      <c r="F655" s="560">
        <v>5</v>
      </c>
      <c r="G655" s="560">
        <f t="shared" si="14"/>
        <v>0</v>
      </c>
      <c r="H655" s="566">
        <v>31.691485299732719</v>
      </c>
      <c r="I655" s="567" t="s">
        <v>464</v>
      </c>
      <c r="J655" s="568" t="s">
        <v>478</v>
      </c>
      <c r="L655" s="373">
        <v>1</v>
      </c>
    </row>
    <row r="656" spans="1:12">
      <c r="A656" s="565">
        <v>651</v>
      </c>
      <c r="B656" s="560" t="s">
        <v>277</v>
      </c>
      <c r="C656" s="560" t="s">
        <v>462</v>
      </c>
      <c r="D656" s="560" t="s">
        <v>291</v>
      </c>
      <c r="E656" s="560">
        <v>232</v>
      </c>
      <c r="F656" s="560">
        <v>11</v>
      </c>
      <c r="G656" s="560">
        <f t="shared" si="14"/>
        <v>0</v>
      </c>
      <c r="H656" s="566">
        <v>88.583428789614345</v>
      </c>
      <c r="I656" s="567" t="s">
        <v>479</v>
      </c>
      <c r="J656" s="568" t="s">
        <v>288</v>
      </c>
      <c r="L656" s="373">
        <v>1</v>
      </c>
    </row>
    <row r="657" spans="1:12">
      <c r="A657" s="565">
        <v>652</v>
      </c>
      <c r="B657" s="560" t="s">
        <v>277</v>
      </c>
      <c r="C657" s="560" t="s">
        <v>462</v>
      </c>
      <c r="D657" s="560" t="s">
        <v>291</v>
      </c>
      <c r="E657" s="560">
        <v>410</v>
      </c>
      <c r="F657" s="560">
        <v>22</v>
      </c>
      <c r="G657" s="560">
        <f>G656</f>
        <v>0</v>
      </c>
      <c r="H657" s="566">
        <v>156.54830087819778</v>
      </c>
      <c r="I657" s="567" t="s">
        <v>464</v>
      </c>
      <c r="J657" s="568" t="s">
        <v>288</v>
      </c>
      <c r="L657" s="373">
        <v>1</v>
      </c>
    </row>
    <row r="658" spans="1:12">
      <c r="A658" s="565">
        <v>653</v>
      </c>
      <c r="B658" s="560" t="s">
        <v>277</v>
      </c>
      <c r="C658" s="560" t="s">
        <v>462</v>
      </c>
      <c r="D658" s="560" t="s">
        <v>291</v>
      </c>
      <c r="E658" s="560">
        <v>574</v>
      </c>
      <c r="F658" s="560">
        <v>24</v>
      </c>
      <c r="G658" s="560" t="s">
        <v>34</v>
      </c>
      <c r="H658" s="566">
        <v>7358.9743589743593</v>
      </c>
      <c r="I658" s="567" t="s">
        <v>464</v>
      </c>
      <c r="J658" s="568" t="s">
        <v>288</v>
      </c>
      <c r="L658" s="373">
        <v>1</v>
      </c>
    </row>
    <row r="659" spans="1:12">
      <c r="A659" s="565">
        <v>654</v>
      </c>
      <c r="B659" s="560" t="s">
        <v>278</v>
      </c>
      <c r="C659" s="560" t="s">
        <v>462</v>
      </c>
      <c r="D659" s="560" t="s">
        <v>294</v>
      </c>
      <c r="E659" s="560">
        <v>91</v>
      </c>
      <c r="F659" s="560">
        <v>2</v>
      </c>
      <c r="G659" s="560" t="s">
        <v>34</v>
      </c>
      <c r="H659" s="566">
        <v>1166.6666666666667</v>
      </c>
      <c r="I659" s="567" t="s">
        <v>464</v>
      </c>
      <c r="J659" s="568" t="s">
        <v>288</v>
      </c>
      <c r="L659" s="373">
        <v>1</v>
      </c>
    </row>
    <row r="660" spans="1:12">
      <c r="A660" s="565">
        <v>655</v>
      </c>
      <c r="B660" s="560" t="s">
        <v>278</v>
      </c>
      <c r="C660" s="560" t="s">
        <v>462</v>
      </c>
      <c r="D660" s="560" t="s">
        <v>294</v>
      </c>
      <c r="E660" s="560">
        <v>164</v>
      </c>
      <c r="F660" s="560">
        <v>7</v>
      </c>
      <c r="G660" s="560" t="s">
        <v>34</v>
      </c>
      <c r="H660" s="566">
        <v>2102.5641025641025</v>
      </c>
      <c r="I660" s="567" t="s">
        <v>464</v>
      </c>
      <c r="J660" s="568" t="s">
        <v>288</v>
      </c>
      <c r="L660" s="373">
        <v>1</v>
      </c>
    </row>
    <row r="661" spans="1:12">
      <c r="A661" s="565">
        <v>656</v>
      </c>
      <c r="B661" s="560" t="s">
        <v>277</v>
      </c>
      <c r="C661" s="560" t="s">
        <v>462</v>
      </c>
      <c r="D661" s="560" t="s">
        <v>294</v>
      </c>
      <c r="E661" s="560">
        <v>289</v>
      </c>
      <c r="F661" s="560">
        <v>9</v>
      </c>
      <c r="G661" s="560" t="s">
        <v>34</v>
      </c>
      <c r="H661" s="566">
        <v>3705.1282051282051</v>
      </c>
      <c r="I661" s="567" t="s">
        <v>464</v>
      </c>
      <c r="J661" s="568" t="s">
        <v>476</v>
      </c>
      <c r="L661" s="373">
        <v>1</v>
      </c>
    </row>
    <row r="662" spans="1:12">
      <c r="A662" s="565">
        <v>657</v>
      </c>
      <c r="B662" s="560" t="s">
        <v>278</v>
      </c>
      <c r="C662" s="560" t="s">
        <v>462</v>
      </c>
      <c r="D662" s="560" t="s">
        <v>294</v>
      </c>
      <c r="E662" s="560">
        <v>145</v>
      </c>
      <c r="F662" s="560">
        <v>6</v>
      </c>
      <c r="G662" s="560" t="s">
        <v>34</v>
      </c>
      <c r="H662" s="566">
        <v>1858.9743589743589</v>
      </c>
      <c r="I662" s="567" t="s">
        <v>464</v>
      </c>
      <c r="J662" s="568" t="s">
        <v>288</v>
      </c>
      <c r="L662" s="373">
        <v>1</v>
      </c>
    </row>
    <row r="663" spans="1:12">
      <c r="A663" s="565">
        <v>658</v>
      </c>
      <c r="B663" s="560" t="s">
        <v>277</v>
      </c>
      <c r="C663" s="560" t="s">
        <v>462</v>
      </c>
      <c r="D663" s="560" t="s">
        <v>291</v>
      </c>
      <c r="E663" s="560">
        <v>275</v>
      </c>
      <c r="F663" s="560">
        <v>17</v>
      </c>
      <c r="G663" s="560" t="s">
        <v>34</v>
      </c>
      <c r="H663" s="566">
        <v>3525.6410256410259</v>
      </c>
      <c r="I663" s="567" t="s">
        <v>464</v>
      </c>
      <c r="J663" s="568" t="s">
        <v>288</v>
      </c>
      <c r="L663" s="373">
        <v>1</v>
      </c>
    </row>
    <row r="664" spans="1:12">
      <c r="A664" s="565">
        <v>659</v>
      </c>
      <c r="B664" s="560" t="s">
        <v>277</v>
      </c>
      <c r="C664" s="560" t="s">
        <v>462</v>
      </c>
      <c r="D664" s="560" t="s">
        <v>291</v>
      </c>
      <c r="E664" s="560">
        <v>1620</v>
      </c>
      <c r="F664" s="560">
        <v>85</v>
      </c>
      <c r="G664" s="560" t="s">
        <v>34</v>
      </c>
      <c r="H664" s="566">
        <v>20769.23076923077</v>
      </c>
      <c r="I664" s="567" t="s">
        <v>464</v>
      </c>
      <c r="J664" s="568" t="s">
        <v>288</v>
      </c>
      <c r="L664" s="373">
        <v>1</v>
      </c>
    </row>
    <row r="665" spans="1:12" ht="21">
      <c r="A665" s="565">
        <v>660</v>
      </c>
      <c r="B665" s="560" t="s">
        <v>277</v>
      </c>
      <c r="C665" s="560" t="s">
        <v>462</v>
      </c>
      <c r="D665" s="560" t="s">
        <v>291</v>
      </c>
      <c r="E665" s="560">
        <v>2244</v>
      </c>
      <c r="F665" s="560">
        <v>103</v>
      </c>
      <c r="G665" s="560">
        <f>G656</f>
        <v>0</v>
      </c>
      <c r="H665" s="566">
        <v>856.81557846506291</v>
      </c>
      <c r="I665" s="567" t="s">
        <v>480</v>
      </c>
      <c r="J665" s="568" t="s">
        <v>288</v>
      </c>
      <c r="L665" s="373">
        <v>1</v>
      </c>
    </row>
    <row r="666" spans="1:12" ht="21">
      <c r="A666" s="565">
        <v>661</v>
      </c>
      <c r="B666" s="560" t="s">
        <v>277</v>
      </c>
      <c r="C666" s="560" t="s">
        <v>462</v>
      </c>
      <c r="D666" s="560" t="s">
        <v>291</v>
      </c>
      <c r="E666" s="560">
        <v>3373</v>
      </c>
      <c r="F666" s="560">
        <v>129</v>
      </c>
      <c r="G666" s="560">
        <f>G665</f>
        <v>0</v>
      </c>
      <c r="H666" s="566">
        <v>1287.8961435662466</v>
      </c>
      <c r="I666" s="567" t="s">
        <v>481</v>
      </c>
      <c r="J666" s="568" t="s">
        <v>288</v>
      </c>
      <c r="L666" s="373">
        <v>1</v>
      </c>
    </row>
    <row r="667" spans="1:12" ht="21">
      <c r="A667" s="565">
        <v>662</v>
      </c>
      <c r="B667" s="560" t="s">
        <v>277</v>
      </c>
      <c r="C667" s="560" t="s">
        <v>462</v>
      </c>
      <c r="D667" s="560" t="s">
        <v>292</v>
      </c>
      <c r="E667" s="560">
        <v>2208</v>
      </c>
      <c r="F667" s="560">
        <v>88</v>
      </c>
      <c r="G667" s="560">
        <f>G666</f>
        <v>0</v>
      </c>
      <c r="H667" s="566">
        <v>843.06987399770901</v>
      </c>
      <c r="I667" s="567" t="s">
        <v>481</v>
      </c>
      <c r="J667" s="568" t="s">
        <v>288</v>
      </c>
      <c r="L667" s="373">
        <v>1</v>
      </c>
    </row>
    <row r="668" spans="1:12">
      <c r="A668" s="565">
        <v>663</v>
      </c>
      <c r="B668" s="560" t="s">
        <v>277</v>
      </c>
      <c r="C668" s="560" t="s">
        <v>462</v>
      </c>
      <c r="D668" s="560" t="s">
        <v>291</v>
      </c>
      <c r="E668" s="560">
        <v>225</v>
      </c>
      <c r="F668" s="560">
        <v>12</v>
      </c>
      <c r="G668" s="560" t="s">
        <v>286</v>
      </c>
      <c r="H668" s="566">
        <v>6.3113604488078545</v>
      </c>
      <c r="I668" s="567" t="s">
        <v>464</v>
      </c>
      <c r="J668" s="568" t="s">
        <v>288</v>
      </c>
      <c r="L668" s="373">
        <v>1</v>
      </c>
    </row>
    <row r="669" spans="1:12">
      <c r="A669" s="565">
        <v>664</v>
      </c>
      <c r="B669" s="560" t="s">
        <v>277</v>
      </c>
      <c r="C669" s="560" t="s">
        <v>462</v>
      </c>
      <c r="D669" s="560" t="s">
        <v>294</v>
      </c>
      <c r="E669" s="560">
        <v>435</v>
      </c>
      <c r="F669" s="560">
        <v>11</v>
      </c>
      <c r="G669" s="560" t="str">
        <f>G668</f>
        <v>węgiel</v>
      </c>
      <c r="H669" s="566">
        <v>12.201963534361852</v>
      </c>
      <c r="I669" s="567" t="s">
        <v>464</v>
      </c>
      <c r="J669" s="568" t="s">
        <v>288</v>
      </c>
      <c r="L669" s="373">
        <v>1</v>
      </c>
    </row>
    <row r="670" spans="1:12">
      <c r="A670" s="565">
        <v>665</v>
      </c>
      <c r="B670" s="560" t="s">
        <v>277</v>
      </c>
      <c r="C670" s="560" t="s">
        <v>462</v>
      </c>
      <c r="D670" s="560" t="s">
        <v>294</v>
      </c>
      <c r="E670" s="560">
        <v>425</v>
      </c>
      <c r="F670" s="560">
        <v>10</v>
      </c>
      <c r="G670" s="560" t="str">
        <f t="shared" ref="G670:G678" si="15">G669</f>
        <v>węgiel</v>
      </c>
      <c r="H670" s="566">
        <v>11.921458625525947</v>
      </c>
      <c r="I670" s="567" t="s">
        <v>464</v>
      </c>
      <c r="J670" s="568" t="s">
        <v>288</v>
      </c>
      <c r="L670" s="373">
        <v>1</v>
      </c>
    </row>
    <row r="671" spans="1:12">
      <c r="A671" s="565">
        <v>666</v>
      </c>
      <c r="B671" s="560" t="s">
        <v>277</v>
      </c>
      <c r="C671" s="560" t="s">
        <v>462</v>
      </c>
      <c r="D671" s="560" t="s">
        <v>294</v>
      </c>
      <c r="E671" s="560">
        <v>299</v>
      </c>
      <c r="F671" s="560">
        <v>11</v>
      </c>
      <c r="G671" s="560" t="str">
        <f t="shared" si="15"/>
        <v>węgiel</v>
      </c>
      <c r="H671" s="566">
        <v>8.387096774193548</v>
      </c>
      <c r="I671" s="567" t="s">
        <v>464</v>
      </c>
      <c r="J671" s="568" t="s">
        <v>288</v>
      </c>
      <c r="L671" s="373">
        <v>1</v>
      </c>
    </row>
    <row r="672" spans="1:12">
      <c r="A672" s="565">
        <v>667</v>
      </c>
      <c r="B672" s="560" t="s">
        <v>277</v>
      </c>
      <c r="C672" s="560" t="s">
        <v>462</v>
      </c>
      <c r="D672" s="560" t="s">
        <v>294</v>
      </c>
      <c r="E672" s="560">
        <v>668</v>
      </c>
      <c r="F672" s="560">
        <v>18</v>
      </c>
      <c r="G672" s="560" t="str">
        <f t="shared" si="15"/>
        <v>węgiel</v>
      </c>
      <c r="H672" s="566">
        <v>18.73772791023843</v>
      </c>
      <c r="I672" s="567" t="s">
        <v>464</v>
      </c>
      <c r="J672" s="568" t="s">
        <v>288</v>
      </c>
      <c r="L672" s="373">
        <v>1</v>
      </c>
    </row>
    <row r="673" spans="1:12">
      <c r="A673" s="565">
        <v>668</v>
      </c>
      <c r="B673" s="560" t="s">
        <v>277</v>
      </c>
      <c r="C673" s="560" t="s">
        <v>462</v>
      </c>
      <c r="D673" s="560" t="s">
        <v>292</v>
      </c>
      <c r="E673" s="560">
        <v>604</v>
      </c>
      <c r="F673" s="560">
        <v>17</v>
      </c>
      <c r="G673" s="560" t="str">
        <f t="shared" si="15"/>
        <v>węgiel</v>
      </c>
      <c r="H673" s="566">
        <v>16.94249649368864</v>
      </c>
      <c r="I673" s="567" t="s">
        <v>482</v>
      </c>
      <c r="J673" s="568" t="s">
        <v>468</v>
      </c>
      <c r="L673" s="373">
        <v>1</v>
      </c>
    </row>
    <row r="674" spans="1:12">
      <c r="A674" s="565">
        <v>669</v>
      </c>
      <c r="B674" s="560" t="s">
        <v>278</v>
      </c>
      <c r="C674" s="560" t="s">
        <v>462</v>
      </c>
      <c r="D674" s="560" t="s">
        <v>292</v>
      </c>
      <c r="E674" s="560">
        <v>239</v>
      </c>
      <c r="F674" s="560">
        <v>3</v>
      </c>
      <c r="G674" s="560" t="str">
        <f t="shared" si="15"/>
        <v>węgiel</v>
      </c>
      <c r="H674" s="566">
        <v>6.7040673211781208</v>
      </c>
      <c r="I674" s="567" t="s">
        <v>464</v>
      </c>
      <c r="J674" s="568" t="s">
        <v>288</v>
      </c>
      <c r="L674" s="373">
        <v>1</v>
      </c>
    </row>
    <row r="675" spans="1:12">
      <c r="A675" s="565">
        <v>670</v>
      </c>
      <c r="B675" s="560" t="s">
        <v>277</v>
      </c>
      <c r="C675" s="560" t="s">
        <v>462</v>
      </c>
      <c r="D675" s="560" t="s">
        <v>291</v>
      </c>
      <c r="E675" s="560">
        <v>510</v>
      </c>
      <c r="F675" s="560">
        <v>14</v>
      </c>
      <c r="G675" s="560" t="str">
        <f t="shared" si="15"/>
        <v>węgiel</v>
      </c>
      <c r="H675" s="566">
        <v>14.305750350631136</v>
      </c>
      <c r="I675" s="567" t="s">
        <v>464</v>
      </c>
      <c r="J675" s="568" t="s">
        <v>288</v>
      </c>
      <c r="L675" s="373">
        <v>1</v>
      </c>
    </row>
    <row r="676" spans="1:12">
      <c r="A676" s="565">
        <v>671</v>
      </c>
      <c r="B676" s="560" t="s">
        <v>277</v>
      </c>
      <c r="C676" s="560" t="s">
        <v>462</v>
      </c>
      <c r="D676" s="560" t="s">
        <v>294</v>
      </c>
      <c r="E676" s="560">
        <v>298</v>
      </c>
      <c r="F676" s="560">
        <v>9</v>
      </c>
      <c r="G676" s="560" t="str">
        <f t="shared" si="15"/>
        <v>węgiel</v>
      </c>
      <c r="H676" s="566">
        <v>8.3590462833099579</v>
      </c>
      <c r="I676" s="567" t="s">
        <v>464</v>
      </c>
      <c r="J676" s="568" t="s">
        <v>288</v>
      </c>
      <c r="L676" s="373">
        <v>1</v>
      </c>
    </row>
    <row r="677" spans="1:12">
      <c r="A677" s="565">
        <v>672</v>
      </c>
      <c r="B677" s="560" t="s">
        <v>277</v>
      </c>
      <c r="C677" s="560" t="s">
        <v>462</v>
      </c>
      <c r="D677" s="560" t="s">
        <v>294</v>
      </c>
      <c r="E677" s="560">
        <v>497</v>
      </c>
      <c r="F677" s="560">
        <v>30</v>
      </c>
      <c r="G677" s="560" t="str">
        <f t="shared" si="15"/>
        <v>węgiel</v>
      </c>
      <c r="H677" s="566">
        <v>13.941093969144461</v>
      </c>
      <c r="I677" s="567" t="s">
        <v>463</v>
      </c>
      <c r="J677" s="568" t="s">
        <v>288</v>
      </c>
      <c r="L677" s="373">
        <v>1</v>
      </c>
    </row>
    <row r="678" spans="1:12">
      <c r="A678" s="565">
        <v>673</v>
      </c>
      <c r="B678" s="560" t="s">
        <v>277</v>
      </c>
      <c r="C678" s="560" t="s">
        <v>462</v>
      </c>
      <c r="D678" s="560" t="s">
        <v>291</v>
      </c>
      <c r="E678" s="560">
        <v>244</v>
      </c>
      <c r="F678" s="560">
        <v>16</v>
      </c>
      <c r="G678" s="560" t="str">
        <f t="shared" si="15"/>
        <v>węgiel</v>
      </c>
      <c r="H678" s="566">
        <v>6.8443197755960732</v>
      </c>
      <c r="I678" s="567" t="s">
        <v>464</v>
      </c>
      <c r="J678" s="568" t="s">
        <v>288</v>
      </c>
      <c r="L678" s="373">
        <v>1</v>
      </c>
    </row>
    <row r="679" spans="1:12">
      <c r="A679" s="565">
        <v>674</v>
      </c>
      <c r="B679" s="560" t="s">
        <v>277</v>
      </c>
      <c r="C679" s="560" t="s">
        <v>462</v>
      </c>
      <c r="D679" s="560" t="s">
        <v>291</v>
      </c>
      <c r="E679" s="560">
        <v>351</v>
      </c>
      <c r="F679" s="560">
        <v>13</v>
      </c>
      <c r="G679" s="560" t="s">
        <v>34</v>
      </c>
      <c r="H679" s="566">
        <v>4500</v>
      </c>
      <c r="I679" s="567" t="s">
        <v>464</v>
      </c>
      <c r="J679" s="568" t="s">
        <v>288</v>
      </c>
      <c r="L679" s="373">
        <v>1</v>
      </c>
    </row>
    <row r="680" spans="1:12" ht="21">
      <c r="A680" s="565">
        <v>675</v>
      </c>
      <c r="B680" s="560" t="s">
        <v>277</v>
      </c>
      <c r="C680" s="560" t="s">
        <v>462</v>
      </c>
      <c r="D680" s="560" t="s">
        <v>294</v>
      </c>
      <c r="E680" s="560">
        <v>280</v>
      </c>
      <c r="F680" s="560">
        <v>15</v>
      </c>
      <c r="G680" s="560" t="s">
        <v>34</v>
      </c>
      <c r="H680" s="566">
        <v>3589.7435897435898</v>
      </c>
      <c r="I680" s="567" t="s">
        <v>483</v>
      </c>
      <c r="J680" s="568" t="s">
        <v>468</v>
      </c>
      <c r="L680" s="373">
        <v>1</v>
      </c>
    </row>
    <row r="681" spans="1:12" ht="21">
      <c r="A681" s="565">
        <v>676</v>
      </c>
      <c r="B681" s="560" t="s">
        <v>277</v>
      </c>
      <c r="C681" s="560" t="s">
        <v>462</v>
      </c>
      <c r="D681" s="560" t="s">
        <v>291</v>
      </c>
      <c r="E681" s="560">
        <v>4584</v>
      </c>
      <c r="F681" s="560">
        <v>195</v>
      </c>
      <c r="G681" s="560" t="s">
        <v>34</v>
      </c>
      <c r="H681" s="566">
        <v>58769.230769230766</v>
      </c>
      <c r="I681" s="567" t="s">
        <v>472</v>
      </c>
      <c r="J681" s="568" t="s">
        <v>468</v>
      </c>
      <c r="L681" s="373">
        <v>1</v>
      </c>
    </row>
    <row r="682" spans="1:12">
      <c r="A682" s="565">
        <v>677</v>
      </c>
      <c r="B682" s="560" t="s">
        <v>277</v>
      </c>
      <c r="C682" s="560" t="s">
        <v>462</v>
      </c>
      <c r="D682" s="560" t="s">
        <v>294</v>
      </c>
      <c r="E682" s="560">
        <v>385</v>
      </c>
      <c r="F682" s="560">
        <v>13</v>
      </c>
      <c r="G682" s="560" t="s">
        <v>286</v>
      </c>
      <c r="H682" s="566">
        <v>10.799438990182329</v>
      </c>
      <c r="I682" s="567" t="s">
        <v>464</v>
      </c>
      <c r="J682" s="568" t="s">
        <v>288</v>
      </c>
      <c r="L682" s="373">
        <v>1</v>
      </c>
    </row>
    <row r="683" spans="1:12">
      <c r="A683" s="565">
        <v>678</v>
      </c>
      <c r="B683" s="560" t="s">
        <v>277</v>
      </c>
      <c r="C683" s="560" t="s">
        <v>462</v>
      </c>
      <c r="D683" s="560" t="s">
        <v>294</v>
      </c>
      <c r="E683" s="560">
        <v>467</v>
      </c>
      <c r="F683" s="560">
        <v>23</v>
      </c>
      <c r="G683" s="560" t="s">
        <v>286</v>
      </c>
      <c r="H683" s="566">
        <v>13.099579242636747</v>
      </c>
      <c r="I683" s="567" t="s">
        <v>464</v>
      </c>
      <c r="J683" s="568" t="s">
        <v>288</v>
      </c>
      <c r="L683" s="373">
        <v>1</v>
      </c>
    </row>
    <row r="684" spans="1:12">
      <c r="A684" s="565">
        <v>679</v>
      </c>
      <c r="B684" s="560" t="s">
        <v>277</v>
      </c>
      <c r="C684" s="560" t="s">
        <v>462</v>
      </c>
      <c r="D684" s="560" t="s">
        <v>294</v>
      </c>
      <c r="E684" s="560">
        <v>294</v>
      </c>
      <c r="F684" s="560">
        <v>7</v>
      </c>
      <c r="G684" s="560" t="s">
        <v>286</v>
      </c>
      <c r="H684" s="566">
        <v>8.2468443197755956</v>
      </c>
      <c r="I684" s="567" t="s">
        <v>464</v>
      </c>
      <c r="J684" s="568" t="s">
        <v>288</v>
      </c>
      <c r="L684" s="373">
        <v>1</v>
      </c>
    </row>
    <row r="685" spans="1:12">
      <c r="A685" s="565">
        <v>680</v>
      </c>
      <c r="B685" s="560" t="s">
        <v>277</v>
      </c>
      <c r="C685" s="560" t="s">
        <v>462</v>
      </c>
      <c r="D685" s="560" t="s">
        <v>294</v>
      </c>
      <c r="E685" s="560">
        <v>510</v>
      </c>
      <c r="F685" s="560">
        <v>15</v>
      </c>
      <c r="G685" s="560" t="s">
        <v>286</v>
      </c>
      <c r="H685" s="566">
        <v>14.305750350631136</v>
      </c>
      <c r="I685" s="567" t="s">
        <v>464</v>
      </c>
      <c r="J685" s="568" t="s">
        <v>288</v>
      </c>
      <c r="L685" s="373">
        <v>1</v>
      </c>
    </row>
    <row r="686" spans="1:12">
      <c r="A686" s="565">
        <v>681</v>
      </c>
      <c r="B686" s="560" t="s">
        <v>277</v>
      </c>
      <c r="C686" s="560" t="s">
        <v>462</v>
      </c>
      <c r="D686" s="560" t="s">
        <v>294</v>
      </c>
      <c r="E686" s="560">
        <v>536</v>
      </c>
      <c r="F686" s="560">
        <v>14</v>
      </c>
      <c r="G686" s="560" t="s">
        <v>286</v>
      </c>
      <c r="H686" s="566">
        <v>15.035063113604489</v>
      </c>
      <c r="I686" s="567" t="s">
        <v>464</v>
      </c>
      <c r="J686" s="568" t="s">
        <v>288</v>
      </c>
      <c r="L686" s="373">
        <v>1</v>
      </c>
    </row>
    <row r="687" spans="1:12">
      <c r="A687" s="565">
        <v>682</v>
      </c>
      <c r="B687" s="560" t="s">
        <v>278</v>
      </c>
      <c r="C687" s="560" t="s">
        <v>462</v>
      </c>
      <c r="D687" s="560" t="s">
        <v>294</v>
      </c>
      <c r="E687" s="560">
        <v>127</v>
      </c>
      <c r="F687" s="560">
        <v>3</v>
      </c>
      <c r="G687" s="560" t="s">
        <v>286</v>
      </c>
      <c r="H687" s="566">
        <v>3.562412342215989</v>
      </c>
      <c r="I687" s="567" t="s">
        <v>464</v>
      </c>
      <c r="J687" s="568" t="s">
        <v>288</v>
      </c>
      <c r="L687" s="373">
        <v>1</v>
      </c>
    </row>
    <row r="688" spans="1:12">
      <c r="A688" s="565">
        <v>683</v>
      </c>
      <c r="B688" s="560" t="s">
        <v>278</v>
      </c>
      <c r="C688" s="560" t="s">
        <v>462</v>
      </c>
      <c r="D688" s="560" t="s">
        <v>291</v>
      </c>
      <c r="E688" s="560">
        <v>178</v>
      </c>
      <c r="F688" s="560">
        <v>5</v>
      </c>
      <c r="G688" s="560" t="s">
        <v>286</v>
      </c>
      <c r="H688" s="566">
        <v>4.9929873772791025</v>
      </c>
      <c r="I688" s="567" t="s">
        <v>464</v>
      </c>
      <c r="J688" s="568" t="s">
        <v>288</v>
      </c>
      <c r="L688" s="373">
        <v>1</v>
      </c>
    </row>
    <row r="689" spans="1:12">
      <c r="A689" s="565">
        <v>684</v>
      </c>
      <c r="B689" s="560" t="s">
        <v>277</v>
      </c>
      <c r="C689" s="560" t="s">
        <v>462</v>
      </c>
      <c r="D689" s="560" t="s">
        <v>291</v>
      </c>
      <c r="E689" s="560">
        <v>460</v>
      </c>
      <c r="F689" s="560">
        <v>24</v>
      </c>
      <c r="G689" s="560" t="s">
        <v>286</v>
      </c>
      <c r="H689" s="566">
        <v>12.903225806451614</v>
      </c>
      <c r="I689" s="567" t="s">
        <v>464</v>
      </c>
      <c r="J689" s="568" t="s">
        <v>288</v>
      </c>
      <c r="L689" s="373">
        <v>1</v>
      </c>
    </row>
    <row r="690" spans="1:12">
      <c r="A690" s="565">
        <v>685</v>
      </c>
      <c r="B690" s="560" t="s">
        <v>277</v>
      </c>
      <c r="C690" s="560" t="s">
        <v>462</v>
      </c>
      <c r="D690" s="560" t="s">
        <v>294</v>
      </c>
      <c r="E690" s="560">
        <v>306</v>
      </c>
      <c r="F690" s="560">
        <v>6</v>
      </c>
      <c r="G690" s="560" t="s">
        <v>286</v>
      </c>
      <c r="H690" s="566">
        <v>8.5834502103786825</v>
      </c>
      <c r="I690" s="567" t="s">
        <v>464</v>
      </c>
      <c r="J690" s="568" t="s">
        <v>288</v>
      </c>
      <c r="L690" s="373">
        <v>1</v>
      </c>
    </row>
    <row r="691" spans="1:12">
      <c r="A691" s="565">
        <v>686</v>
      </c>
      <c r="B691" s="560" t="s">
        <v>277</v>
      </c>
      <c r="C691" s="560" t="s">
        <v>462</v>
      </c>
      <c r="D691" s="560" t="s">
        <v>292</v>
      </c>
      <c r="E691" s="560">
        <v>2412</v>
      </c>
      <c r="F691" s="560">
        <v>64</v>
      </c>
      <c r="G691" s="560" t="s">
        <v>286</v>
      </c>
      <c r="H691" s="566">
        <v>67.657784011220201</v>
      </c>
      <c r="I691" s="567" t="s">
        <v>484</v>
      </c>
      <c r="J691" s="568" t="s">
        <v>468</v>
      </c>
      <c r="L691" s="373">
        <v>1</v>
      </c>
    </row>
    <row r="692" spans="1:12">
      <c r="A692" s="565">
        <v>687</v>
      </c>
      <c r="B692" s="560" t="s">
        <v>277</v>
      </c>
      <c r="C692" s="560" t="s">
        <v>462</v>
      </c>
      <c r="D692" s="560" t="s">
        <v>291</v>
      </c>
      <c r="E692" s="560">
        <v>1513</v>
      </c>
      <c r="F692" s="560">
        <v>38</v>
      </c>
      <c r="G692" s="560" t="s">
        <v>286</v>
      </c>
      <c r="H692" s="566">
        <v>42.440392706872373</v>
      </c>
      <c r="I692" s="567" t="s">
        <v>470</v>
      </c>
      <c r="J692" s="568" t="s">
        <v>468</v>
      </c>
      <c r="L692" s="373">
        <v>1</v>
      </c>
    </row>
    <row r="693" spans="1:12">
      <c r="A693" s="565">
        <v>688</v>
      </c>
      <c r="B693" s="560" t="s">
        <v>277</v>
      </c>
      <c r="C693" s="560" t="s">
        <v>462</v>
      </c>
      <c r="D693" s="560" t="s">
        <v>293</v>
      </c>
      <c r="E693" s="560">
        <v>324</v>
      </c>
      <c r="F693" s="560">
        <v>10</v>
      </c>
      <c r="G693" s="560" t="s">
        <v>286</v>
      </c>
      <c r="H693" s="566">
        <v>9.0883590462833101</v>
      </c>
      <c r="I693" s="567" t="s">
        <v>464</v>
      </c>
      <c r="J693" s="568" t="s">
        <v>288</v>
      </c>
      <c r="L693" s="373">
        <v>1</v>
      </c>
    </row>
    <row r="694" spans="1:12">
      <c r="A694" s="565">
        <v>689</v>
      </c>
      <c r="B694" s="560" t="s">
        <v>277</v>
      </c>
      <c r="C694" s="560" t="s">
        <v>462</v>
      </c>
      <c r="D694" s="560" t="s">
        <v>291</v>
      </c>
      <c r="E694" s="560">
        <v>599</v>
      </c>
      <c r="F694" s="560">
        <v>14</v>
      </c>
      <c r="G694" s="560" t="s">
        <v>286</v>
      </c>
      <c r="H694" s="566">
        <v>16.802244039270686</v>
      </c>
      <c r="I694" s="567" t="s">
        <v>464</v>
      </c>
      <c r="J694" s="568" t="s">
        <v>288</v>
      </c>
      <c r="L694" s="373">
        <v>1</v>
      </c>
    </row>
    <row r="695" spans="1:12">
      <c r="A695" s="565">
        <v>690</v>
      </c>
      <c r="B695" s="560" t="s">
        <v>277</v>
      </c>
      <c r="C695" s="560" t="s">
        <v>462</v>
      </c>
      <c r="D695" s="561" t="s">
        <v>291</v>
      </c>
      <c r="E695" s="560">
        <v>425</v>
      </c>
      <c r="F695" s="560">
        <v>14</v>
      </c>
      <c r="G695" s="560" t="s">
        <v>286</v>
      </c>
      <c r="H695" s="566">
        <v>11.921458625525947</v>
      </c>
      <c r="I695" s="567" t="s">
        <v>464</v>
      </c>
      <c r="J695" s="568" t="s">
        <v>288</v>
      </c>
      <c r="L695" s="373">
        <v>1</v>
      </c>
    </row>
    <row r="696" spans="1:12">
      <c r="A696" s="565">
        <v>691</v>
      </c>
      <c r="B696" s="560" t="s">
        <v>277</v>
      </c>
      <c r="C696" s="560" t="s">
        <v>462</v>
      </c>
      <c r="D696" s="560" t="s">
        <v>291</v>
      </c>
      <c r="E696" s="560">
        <v>426</v>
      </c>
      <c r="F696" s="560">
        <v>14</v>
      </c>
      <c r="G696" s="560" t="s">
        <v>286</v>
      </c>
      <c r="H696" s="566">
        <v>11.949509116409537</v>
      </c>
      <c r="I696" s="567" t="s">
        <v>464</v>
      </c>
      <c r="J696" s="568" t="s">
        <v>288</v>
      </c>
      <c r="L696" s="373">
        <v>1</v>
      </c>
    </row>
    <row r="697" spans="1:12">
      <c r="A697" s="565">
        <v>692</v>
      </c>
      <c r="B697" s="560" t="s">
        <v>277</v>
      </c>
      <c r="C697" s="560" t="s">
        <v>462</v>
      </c>
      <c r="D697" s="560" t="s">
        <v>294</v>
      </c>
      <c r="E697" s="560">
        <v>326</v>
      </c>
      <c r="F697" s="560">
        <v>15</v>
      </c>
      <c r="G697" s="560" t="s">
        <v>286</v>
      </c>
      <c r="H697" s="566">
        <v>9.1444600280504904</v>
      </c>
      <c r="I697" s="567" t="s">
        <v>464</v>
      </c>
      <c r="J697" s="568" t="s">
        <v>288</v>
      </c>
      <c r="L697" s="373">
        <v>1</v>
      </c>
    </row>
    <row r="698" spans="1:12">
      <c r="A698" s="565">
        <v>693</v>
      </c>
      <c r="B698" s="560"/>
      <c r="C698" s="560" t="s">
        <v>462</v>
      </c>
      <c r="D698" s="560" t="s">
        <v>294</v>
      </c>
      <c r="E698" s="560">
        <v>89</v>
      </c>
      <c r="F698" s="560"/>
      <c r="G698" s="560" t="s">
        <v>286</v>
      </c>
      <c r="H698" s="566">
        <v>2.4964936886395512</v>
      </c>
      <c r="I698" s="567" t="s">
        <v>464</v>
      </c>
      <c r="J698" s="568" t="s">
        <v>288</v>
      </c>
      <c r="L698" s="373">
        <v>1</v>
      </c>
    </row>
    <row r="699" spans="1:12">
      <c r="A699" s="565">
        <v>694</v>
      </c>
      <c r="B699" s="560" t="s">
        <v>277</v>
      </c>
      <c r="C699" s="560" t="s">
        <v>462</v>
      </c>
      <c r="D699" s="560" t="s">
        <v>291</v>
      </c>
      <c r="E699" s="560">
        <v>617</v>
      </c>
      <c r="F699" s="560">
        <v>11</v>
      </c>
      <c r="G699" s="560" t="s">
        <v>286</v>
      </c>
      <c r="H699" s="566">
        <v>17.307152875175316</v>
      </c>
      <c r="I699" s="567" t="s">
        <v>464</v>
      </c>
      <c r="J699" s="568" t="s">
        <v>288</v>
      </c>
      <c r="L699" s="373">
        <v>1</v>
      </c>
    </row>
    <row r="700" spans="1:12">
      <c r="A700" s="565">
        <v>695</v>
      </c>
      <c r="B700" s="560" t="s">
        <v>278</v>
      </c>
      <c r="C700" s="560" t="s">
        <v>462</v>
      </c>
      <c r="D700" s="560" t="s">
        <v>291</v>
      </c>
      <c r="E700" s="560">
        <v>210</v>
      </c>
      <c r="F700" s="560">
        <v>5</v>
      </c>
      <c r="G700" s="560" t="s">
        <v>286</v>
      </c>
      <c r="H700" s="566">
        <v>5.8906030855539973</v>
      </c>
      <c r="I700" s="567" t="s">
        <v>464</v>
      </c>
      <c r="J700" s="568" t="s">
        <v>288</v>
      </c>
      <c r="L700" s="373">
        <v>1</v>
      </c>
    </row>
    <row r="701" spans="1:12">
      <c r="A701" s="565">
        <v>696</v>
      </c>
      <c r="B701" s="560" t="s">
        <v>277</v>
      </c>
      <c r="C701" s="560" t="s">
        <v>462</v>
      </c>
      <c r="D701" s="560" t="s">
        <v>294</v>
      </c>
      <c r="E701" s="560">
        <v>199</v>
      </c>
      <c r="F701" s="560">
        <v>12</v>
      </c>
      <c r="G701" s="560" t="s">
        <v>286</v>
      </c>
      <c r="H701" s="566">
        <v>5.5820476858345023</v>
      </c>
      <c r="I701" s="567" t="s">
        <v>464</v>
      </c>
      <c r="J701" s="568" t="s">
        <v>288</v>
      </c>
      <c r="L701" s="373">
        <v>1</v>
      </c>
    </row>
    <row r="702" spans="1:12">
      <c r="A702" s="565">
        <v>697</v>
      </c>
      <c r="B702" s="560" t="s">
        <v>277</v>
      </c>
      <c r="C702" s="560" t="s">
        <v>462</v>
      </c>
      <c r="D702" s="560" t="s">
        <v>293</v>
      </c>
      <c r="E702" s="560">
        <v>316</v>
      </c>
      <c r="F702" s="560">
        <v>9</v>
      </c>
      <c r="G702" s="560" t="s">
        <v>286</v>
      </c>
      <c r="H702" s="566">
        <v>8.8639551192145873</v>
      </c>
      <c r="I702" s="567" t="s">
        <v>464</v>
      </c>
      <c r="J702" s="568" t="s">
        <v>288</v>
      </c>
      <c r="L702" s="373">
        <v>1</v>
      </c>
    </row>
    <row r="703" spans="1:12">
      <c r="A703" s="565">
        <v>698</v>
      </c>
      <c r="B703" s="560" t="s">
        <v>277</v>
      </c>
      <c r="C703" s="560" t="s">
        <v>462</v>
      </c>
      <c r="D703" s="560" t="s">
        <v>291</v>
      </c>
      <c r="E703" s="560">
        <v>251</v>
      </c>
      <c r="F703" s="560">
        <v>12</v>
      </c>
      <c r="G703" s="560" t="s">
        <v>286</v>
      </c>
      <c r="H703" s="566">
        <v>7.0406732117812068</v>
      </c>
      <c r="I703" s="567" t="s">
        <v>289</v>
      </c>
      <c r="J703" s="568" t="s">
        <v>288</v>
      </c>
      <c r="L703" s="373">
        <v>1</v>
      </c>
    </row>
    <row r="704" spans="1:12">
      <c r="A704" s="565">
        <v>699</v>
      </c>
      <c r="B704" s="560" t="s">
        <v>277</v>
      </c>
      <c r="C704" s="560" t="s">
        <v>462</v>
      </c>
      <c r="D704" s="560" t="s">
        <v>291</v>
      </c>
      <c r="E704" s="560">
        <v>350</v>
      </c>
      <c r="F704" s="560">
        <v>13</v>
      </c>
      <c r="G704" s="560" t="s">
        <v>286</v>
      </c>
      <c r="H704" s="566">
        <v>9.8176718092566624</v>
      </c>
      <c r="I704" s="567" t="s">
        <v>289</v>
      </c>
      <c r="J704" s="568" t="s">
        <v>288</v>
      </c>
      <c r="L704" s="373">
        <v>1</v>
      </c>
    </row>
    <row r="705" spans="1:12">
      <c r="A705" s="565">
        <v>700</v>
      </c>
      <c r="B705" s="560" t="s">
        <v>277</v>
      </c>
      <c r="C705" s="560" t="s">
        <v>462</v>
      </c>
      <c r="D705" s="560" t="s">
        <v>291</v>
      </c>
      <c r="E705" s="560">
        <v>220</v>
      </c>
      <c r="F705" s="560">
        <v>19</v>
      </c>
      <c r="G705" s="560" t="s">
        <v>286</v>
      </c>
      <c r="H705" s="566">
        <v>6.1711079943899021</v>
      </c>
      <c r="I705" s="567" t="s">
        <v>464</v>
      </c>
      <c r="J705" s="568" t="s">
        <v>288</v>
      </c>
      <c r="L705" s="373">
        <v>1</v>
      </c>
    </row>
    <row r="706" spans="1:12">
      <c r="A706" s="565">
        <v>701</v>
      </c>
      <c r="B706" s="560" t="s">
        <v>277</v>
      </c>
      <c r="C706" s="560" t="s">
        <v>462</v>
      </c>
      <c r="D706" s="560" t="s">
        <v>293</v>
      </c>
      <c r="E706" s="560">
        <v>271</v>
      </c>
      <c r="F706" s="560">
        <v>11</v>
      </c>
      <c r="G706" s="560" t="s">
        <v>286</v>
      </c>
      <c r="H706" s="566">
        <v>7.6016830294530155</v>
      </c>
      <c r="I706" s="567" t="s">
        <v>464</v>
      </c>
      <c r="J706" s="568" t="s">
        <v>288</v>
      </c>
      <c r="L706" s="373">
        <v>1</v>
      </c>
    </row>
    <row r="707" spans="1:12">
      <c r="A707" s="565">
        <v>702</v>
      </c>
      <c r="B707" s="560" t="s">
        <v>485</v>
      </c>
      <c r="C707" s="560" t="s">
        <v>462</v>
      </c>
      <c r="D707" s="560" t="s">
        <v>291</v>
      </c>
      <c r="E707" s="560">
        <v>1053</v>
      </c>
      <c r="F707" s="560"/>
      <c r="G707" s="560">
        <f>G665</f>
        <v>0</v>
      </c>
      <c r="H707" s="566">
        <v>402.06185567010306</v>
      </c>
      <c r="I707" s="567" t="s">
        <v>464</v>
      </c>
      <c r="J707" s="568" t="s">
        <v>288</v>
      </c>
      <c r="L707" s="373">
        <v>1</v>
      </c>
    </row>
    <row r="708" spans="1:12">
      <c r="A708" s="565">
        <v>703</v>
      </c>
      <c r="B708" s="560" t="s">
        <v>485</v>
      </c>
      <c r="C708" s="560" t="s">
        <v>462</v>
      </c>
      <c r="D708" s="560" t="s">
        <v>291</v>
      </c>
      <c r="E708" s="560">
        <v>231</v>
      </c>
      <c r="F708" s="560">
        <v>8</v>
      </c>
      <c r="G708" s="560">
        <f t="shared" ref="G708:G709" si="16">G666</f>
        <v>0</v>
      </c>
      <c r="H708" s="566">
        <v>88.201603665521191</v>
      </c>
      <c r="I708" s="567" t="s">
        <v>486</v>
      </c>
      <c r="J708" s="568" t="s">
        <v>288</v>
      </c>
      <c r="L708" s="373">
        <v>1</v>
      </c>
    </row>
    <row r="709" spans="1:12">
      <c r="A709" s="565">
        <v>704</v>
      </c>
      <c r="B709" s="560" t="s">
        <v>485</v>
      </c>
      <c r="C709" s="560" t="s">
        <v>462</v>
      </c>
      <c r="D709" s="560" t="s">
        <v>293</v>
      </c>
      <c r="E709" s="560">
        <v>865</v>
      </c>
      <c r="F709" s="560">
        <v>12</v>
      </c>
      <c r="G709" s="560">
        <f t="shared" si="16"/>
        <v>0</v>
      </c>
      <c r="H709" s="566">
        <v>330.27873234058796</v>
      </c>
      <c r="I709" s="567" t="s">
        <v>464</v>
      </c>
      <c r="J709" s="568" t="s">
        <v>488</v>
      </c>
      <c r="L709" s="373">
        <v>1</v>
      </c>
    </row>
    <row r="710" spans="1:12">
      <c r="A710" s="565">
        <v>705</v>
      </c>
      <c r="B710" s="560" t="s">
        <v>485</v>
      </c>
      <c r="C710" s="560" t="s">
        <v>462</v>
      </c>
      <c r="D710" s="560" t="s">
        <v>291</v>
      </c>
      <c r="E710" s="560">
        <v>231</v>
      </c>
      <c r="F710" s="560">
        <v>5</v>
      </c>
      <c r="G710" s="560">
        <f>G709</f>
        <v>0</v>
      </c>
      <c r="H710" s="566">
        <v>88.201603665521191</v>
      </c>
      <c r="I710" s="567" t="s">
        <v>486</v>
      </c>
      <c r="J710" s="568" t="s">
        <v>288</v>
      </c>
      <c r="L710" s="373">
        <v>1</v>
      </c>
    </row>
    <row r="711" spans="1:12" ht="21">
      <c r="A711" s="565">
        <v>706</v>
      </c>
      <c r="B711" s="560" t="s">
        <v>277</v>
      </c>
      <c r="C711" s="560" t="s">
        <v>462</v>
      </c>
      <c r="D711" s="560" t="s">
        <v>291</v>
      </c>
      <c r="E711" s="560">
        <v>805</v>
      </c>
      <c r="F711" s="560">
        <v>27</v>
      </c>
      <c r="G711" s="560" t="s">
        <v>34</v>
      </c>
      <c r="H711" s="566">
        <v>10320.51282051282</v>
      </c>
      <c r="I711" s="567" t="s">
        <v>288</v>
      </c>
      <c r="J711" s="568" t="s">
        <v>489</v>
      </c>
      <c r="L711" s="373">
        <v>1</v>
      </c>
    </row>
    <row r="712" spans="1:12">
      <c r="A712" s="565">
        <v>707</v>
      </c>
      <c r="B712" s="560" t="s">
        <v>277</v>
      </c>
      <c r="C712" s="560" t="s">
        <v>462</v>
      </c>
      <c r="D712" s="560" t="s">
        <v>293</v>
      </c>
      <c r="E712" s="560">
        <v>756</v>
      </c>
      <c r="F712" s="560">
        <v>23</v>
      </c>
      <c r="G712" s="560">
        <f>G709</f>
        <v>0</v>
      </c>
      <c r="H712" s="566">
        <v>288.65979381443299</v>
      </c>
      <c r="I712" s="567" t="s">
        <v>464</v>
      </c>
      <c r="J712" s="568" t="s">
        <v>488</v>
      </c>
      <c r="L712" s="373">
        <v>1</v>
      </c>
    </row>
    <row r="713" spans="1:12">
      <c r="A713" s="565">
        <v>708</v>
      </c>
      <c r="B713" s="560" t="s">
        <v>277</v>
      </c>
      <c r="C713" s="560" t="s">
        <v>462</v>
      </c>
      <c r="D713" s="560" t="s">
        <v>291</v>
      </c>
      <c r="E713" s="560">
        <v>3781</v>
      </c>
      <c r="F713" s="560">
        <v>101</v>
      </c>
      <c r="G713" s="560" t="s">
        <v>34</v>
      </c>
      <c r="H713" s="566">
        <v>48474.358974358976</v>
      </c>
      <c r="I713" s="567" t="s">
        <v>464</v>
      </c>
      <c r="J713" s="568" t="s">
        <v>488</v>
      </c>
      <c r="L713" s="373">
        <v>1</v>
      </c>
    </row>
    <row r="714" spans="1:12">
      <c r="A714" s="565">
        <v>709</v>
      </c>
      <c r="B714" s="560" t="s">
        <v>277</v>
      </c>
      <c r="C714" s="560" t="s">
        <v>462</v>
      </c>
      <c r="D714" s="560" t="s">
        <v>293</v>
      </c>
      <c r="E714" s="560">
        <v>1002</v>
      </c>
      <c r="F714" s="560">
        <v>41</v>
      </c>
      <c r="G714" s="560" t="s">
        <v>34</v>
      </c>
      <c r="H714" s="566">
        <v>12846.153846153846</v>
      </c>
      <c r="I714" s="567" t="s">
        <v>490</v>
      </c>
      <c r="J714" s="568" t="s">
        <v>491</v>
      </c>
      <c r="L714" s="373">
        <v>1</v>
      </c>
    </row>
    <row r="715" spans="1:12" ht="21">
      <c r="A715" s="565">
        <v>710</v>
      </c>
      <c r="B715" s="560" t="s">
        <v>277</v>
      </c>
      <c r="C715" s="560" t="s">
        <v>462</v>
      </c>
      <c r="D715" s="560" t="s">
        <v>293</v>
      </c>
      <c r="E715" s="560">
        <v>470</v>
      </c>
      <c r="F715" s="560">
        <v>8</v>
      </c>
      <c r="G715" s="560" t="s">
        <v>34</v>
      </c>
      <c r="H715" s="566">
        <v>6025.6410256410254</v>
      </c>
      <c r="I715" s="567" t="s">
        <v>288</v>
      </c>
      <c r="J715" s="568" t="s">
        <v>489</v>
      </c>
      <c r="L715" s="373">
        <v>1</v>
      </c>
    </row>
    <row r="716" spans="1:12" ht="21">
      <c r="A716" s="565">
        <v>711</v>
      </c>
      <c r="B716" s="560" t="s">
        <v>277</v>
      </c>
      <c r="C716" s="560" t="s">
        <v>462</v>
      </c>
      <c r="D716" s="560" t="s">
        <v>291</v>
      </c>
      <c r="E716" s="560">
        <v>961</v>
      </c>
      <c r="F716" s="560">
        <v>22</v>
      </c>
      <c r="G716" s="560" t="s">
        <v>34</v>
      </c>
      <c r="H716" s="566">
        <v>12320.51282051282</v>
      </c>
      <c r="I716" s="567" t="s">
        <v>288</v>
      </c>
      <c r="J716" s="568" t="s">
        <v>489</v>
      </c>
      <c r="L716" s="373">
        <v>1</v>
      </c>
    </row>
    <row r="717" spans="1:12" ht="21">
      <c r="A717" s="565">
        <v>712</v>
      </c>
      <c r="B717" s="560" t="s">
        <v>277</v>
      </c>
      <c r="C717" s="560" t="s">
        <v>462</v>
      </c>
      <c r="D717" s="560" t="s">
        <v>291</v>
      </c>
      <c r="E717" s="560">
        <v>339</v>
      </c>
      <c r="F717" s="560">
        <v>8</v>
      </c>
      <c r="G717" s="560" t="s">
        <v>34</v>
      </c>
      <c r="H717" s="566">
        <v>4346.1538461538457</v>
      </c>
      <c r="I717" s="567" t="s">
        <v>288</v>
      </c>
      <c r="J717" s="568" t="s">
        <v>489</v>
      </c>
      <c r="L717" s="373">
        <v>1</v>
      </c>
    </row>
    <row r="718" spans="1:12" ht="21">
      <c r="A718" s="565">
        <v>713</v>
      </c>
      <c r="B718" s="560" t="s">
        <v>277</v>
      </c>
      <c r="C718" s="560" t="s">
        <v>462</v>
      </c>
      <c r="D718" s="560" t="s">
        <v>291</v>
      </c>
      <c r="E718" s="560">
        <v>433</v>
      </c>
      <c r="F718" s="560">
        <v>9</v>
      </c>
      <c r="G718" s="560" t="s">
        <v>34</v>
      </c>
      <c r="H718" s="566">
        <v>5551.2820512820517</v>
      </c>
      <c r="I718" s="567" t="s">
        <v>288</v>
      </c>
      <c r="J718" s="568" t="s">
        <v>489</v>
      </c>
      <c r="L718" s="373">
        <v>1</v>
      </c>
    </row>
    <row r="719" spans="1:12">
      <c r="A719" s="565">
        <v>714</v>
      </c>
      <c r="B719" s="560" t="s">
        <v>277</v>
      </c>
      <c r="C719" s="560" t="s">
        <v>462</v>
      </c>
      <c r="D719" s="560" t="s">
        <v>293</v>
      </c>
      <c r="E719" s="560">
        <v>302</v>
      </c>
      <c r="F719" s="560">
        <v>14</v>
      </c>
      <c r="G719" s="560" t="s">
        <v>34</v>
      </c>
      <c r="H719" s="566">
        <v>3871.7948717948716</v>
      </c>
      <c r="I719" s="567" t="s">
        <v>464</v>
      </c>
      <c r="J719" s="568" t="s">
        <v>488</v>
      </c>
      <c r="L719" s="373">
        <v>1</v>
      </c>
    </row>
    <row r="720" spans="1:12">
      <c r="A720" s="565">
        <v>715</v>
      </c>
      <c r="B720" s="560" t="s">
        <v>277</v>
      </c>
      <c r="C720" s="560" t="s">
        <v>462</v>
      </c>
      <c r="D720" s="560" t="s">
        <v>291</v>
      </c>
      <c r="E720" s="560">
        <v>1120</v>
      </c>
      <c r="F720" s="560">
        <v>50</v>
      </c>
      <c r="G720" s="560" t="s">
        <v>34</v>
      </c>
      <c r="H720" s="566">
        <v>14358.974358974359</v>
      </c>
      <c r="I720" s="567" t="s">
        <v>464</v>
      </c>
      <c r="J720" s="568" t="s">
        <v>488</v>
      </c>
      <c r="L720" s="373">
        <v>1</v>
      </c>
    </row>
    <row r="721" spans="1:12" ht="21">
      <c r="A721" s="565">
        <v>716</v>
      </c>
      <c r="B721" s="560" t="s">
        <v>277</v>
      </c>
      <c r="C721" s="560" t="s">
        <v>462</v>
      </c>
      <c r="D721" s="560" t="s">
        <v>291</v>
      </c>
      <c r="E721" s="560">
        <v>2182</v>
      </c>
      <c r="F721" s="560">
        <v>96</v>
      </c>
      <c r="G721" s="560" t="s">
        <v>487</v>
      </c>
      <c r="H721" s="566">
        <v>833.14242077128665</v>
      </c>
      <c r="I721" s="567" t="s">
        <v>492</v>
      </c>
      <c r="J721" s="568" t="s">
        <v>288</v>
      </c>
      <c r="L721" s="373">
        <v>1</v>
      </c>
    </row>
    <row r="722" spans="1:12" ht="21">
      <c r="A722" s="565">
        <v>717</v>
      </c>
      <c r="B722" s="560" t="s">
        <v>277</v>
      </c>
      <c r="C722" s="560" t="s">
        <v>462</v>
      </c>
      <c r="D722" s="560" t="s">
        <v>291</v>
      </c>
      <c r="E722" s="560">
        <v>1642</v>
      </c>
      <c r="F722" s="560">
        <v>70</v>
      </c>
      <c r="G722" s="560" t="s">
        <v>487</v>
      </c>
      <c r="H722" s="566">
        <v>626.95685376097742</v>
      </c>
      <c r="I722" s="567" t="s">
        <v>481</v>
      </c>
      <c r="J722" s="568" t="s">
        <v>288</v>
      </c>
      <c r="L722" s="373">
        <v>1</v>
      </c>
    </row>
    <row r="723" spans="1:12" ht="21">
      <c r="A723" s="565">
        <v>718</v>
      </c>
      <c r="B723" s="560" t="s">
        <v>277</v>
      </c>
      <c r="C723" s="560" t="s">
        <v>462</v>
      </c>
      <c r="D723" s="560" t="s">
        <v>291</v>
      </c>
      <c r="E723" s="560">
        <v>1810</v>
      </c>
      <c r="F723" s="560">
        <v>86</v>
      </c>
      <c r="G723" s="560" t="s">
        <v>487</v>
      </c>
      <c r="H723" s="566">
        <v>691.1034746086292</v>
      </c>
      <c r="I723" s="567" t="s">
        <v>492</v>
      </c>
      <c r="J723" s="568" t="s">
        <v>288</v>
      </c>
      <c r="L723" s="373">
        <v>1</v>
      </c>
    </row>
    <row r="724" spans="1:12" ht="21">
      <c r="A724" s="565">
        <v>719</v>
      </c>
      <c r="B724" s="560" t="s">
        <v>277</v>
      </c>
      <c r="C724" s="560" t="s">
        <v>462</v>
      </c>
      <c r="D724" s="560" t="s">
        <v>291</v>
      </c>
      <c r="E724" s="560">
        <v>2271</v>
      </c>
      <c r="F724" s="560">
        <v>108</v>
      </c>
      <c r="G724" s="560" t="s">
        <v>487</v>
      </c>
      <c r="H724" s="566">
        <v>867.12485681557837</v>
      </c>
      <c r="I724" s="567" t="s">
        <v>469</v>
      </c>
      <c r="J724" s="568" t="s">
        <v>288</v>
      </c>
      <c r="L724" s="373">
        <v>1</v>
      </c>
    </row>
    <row r="725" spans="1:12" ht="21">
      <c r="A725" s="565">
        <v>720</v>
      </c>
      <c r="B725" s="560" t="s">
        <v>277</v>
      </c>
      <c r="C725" s="560" t="s">
        <v>462</v>
      </c>
      <c r="D725" s="560" t="s">
        <v>292</v>
      </c>
      <c r="E725" s="560">
        <v>2703</v>
      </c>
      <c r="F725" s="560">
        <v>125</v>
      </c>
      <c r="G725" s="560" t="s">
        <v>487</v>
      </c>
      <c r="H725" s="566">
        <v>1032.0733104238259</v>
      </c>
      <c r="I725" s="567" t="s">
        <v>481</v>
      </c>
      <c r="J725" s="568" t="s">
        <v>288</v>
      </c>
      <c r="L725" s="373">
        <v>1</v>
      </c>
    </row>
    <row r="726" spans="1:12" ht="21">
      <c r="A726" s="565">
        <v>721</v>
      </c>
      <c r="B726" s="560" t="s">
        <v>277</v>
      </c>
      <c r="C726" s="560" t="s">
        <v>462</v>
      </c>
      <c r="D726" s="560" t="s">
        <v>292</v>
      </c>
      <c r="E726" s="560">
        <v>2162</v>
      </c>
      <c r="F726" s="560">
        <v>95</v>
      </c>
      <c r="G726" s="560" t="s">
        <v>487</v>
      </c>
      <c r="H726" s="566">
        <v>825.50591828942333</v>
      </c>
      <c r="I726" s="567" t="s">
        <v>471</v>
      </c>
      <c r="J726" s="568" t="s">
        <v>288</v>
      </c>
      <c r="L726" s="373">
        <v>1</v>
      </c>
    </row>
    <row r="727" spans="1:12" ht="21">
      <c r="A727" s="565">
        <v>722</v>
      </c>
      <c r="B727" s="560" t="s">
        <v>277</v>
      </c>
      <c r="C727" s="560" t="s">
        <v>462</v>
      </c>
      <c r="D727" s="560" t="s">
        <v>292</v>
      </c>
      <c r="E727" s="560">
        <v>1313</v>
      </c>
      <c r="F727" s="560">
        <v>61</v>
      </c>
      <c r="G727" s="560" t="s">
        <v>487</v>
      </c>
      <c r="H727" s="566">
        <v>501.33638793432601</v>
      </c>
      <c r="I727" s="567" t="s">
        <v>480</v>
      </c>
      <c r="J727" s="568" t="s">
        <v>288</v>
      </c>
      <c r="L727" s="373">
        <v>1</v>
      </c>
    </row>
    <row r="728" spans="1:12" ht="21">
      <c r="A728" s="565">
        <v>723</v>
      </c>
      <c r="B728" s="560" t="s">
        <v>277</v>
      </c>
      <c r="C728" s="560" t="s">
        <v>462</v>
      </c>
      <c r="D728" s="560" t="s">
        <v>294</v>
      </c>
      <c r="E728" s="560">
        <v>1469</v>
      </c>
      <c r="F728" s="560">
        <v>74</v>
      </c>
      <c r="G728" s="560" t="s">
        <v>487</v>
      </c>
      <c r="H728" s="566">
        <v>560.90110729285982</v>
      </c>
      <c r="I728" s="567" t="s">
        <v>480</v>
      </c>
      <c r="J728" s="568" t="s">
        <v>288</v>
      </c>
      <c r="L728" s="373">
        <v>1</v>
      </c>
    </row>
    <row r="729" spans="1:12" ht="21">
      <c r="A729" s="565">
        <v>724</v>
      </c>
      <c r="B729" s="560" t="s">
        <v>277</v>
      </c>
      <c r="C729" s="560" t="s">
        <v>462</v>
      </c>
      <c r="D729" s="560" t="s">
        <v>291</v>
      </c>
      <c r="E729" s="560">
        <v>4799</v>
      </c>
      <c r="F729" s="560">
        <v>266</v>
      </c>
      <c r="G729" s="560" t="s">
        <v>487</v>
      </c>
      <c r="H729" s="566">
        <v>1832.3787705231002</v>
      </c>
      <c r="I729" s="567" t="s">
        <v>480</v>
      </c>
      <c r="J729" s="568" t="s">
        <v>288</v>
      </c>
      <c r="L729" s="373">
        <v>1</v>
      </c>
    </row>
    <row r="730" spans="1:12" ht="21">
      <c r="A730" s="565">
        <v>725</v>
      </c>
      <c r="B730" s="560" t="s">
        <v>277</v>
      </c>
      <c r="C730" s="560" t="s">
        <v>462</v>
      </c>
      <c r="D730" s="560" t="s">
        <v>291</v>
      </c>
      <c r="E730" s="560">
        <v>4016</v>
      </c>
      <c r="F730" s="560">
        <v>189</v>
      </c>
      <c r="G730" s="560" t="s">
        <v>487</v>
      </c>
      <c r="H730" s="566">
        <v>1533.4096983581519</v>
      </c>
      <c r="I730" s="567" t="s">
        <v>493</v>
      </c>
      <c r="J730" s="568" t="s">
        <v>288</v>
      </c>
      <c r="L730" s="373">
        <v>1</v>
      </c>
    </row>
    <row r="731" spans="1:12" ht="21">
      <c r="A731" s="565">
        <v>726</v>
      </c>
      <c r="B731" s="560" t="s">
        <v>277</v>
      </c>
      <c r="C731" s="560" t="s">
        <v>462</v>
      </c>
      <c r="D731" s="560" t="s">
        <v>292</v>
      </c>
      <c r="E731" s="560">
        <v>1075</v>
      </c>
      <c r="F731" s="560">
        <v>52</v>
      </c>
      <c r="G731" s="560" t="s">
        <v>487</v>
      </c>
      <c r="H731" s="566">
        <v>410.46200840015268</v>
      </c>
      <c r="I731" s="567" t="s">
        <v>472</v>
      </c>
      <c r="J731" s="568" t="s">
        <v>288</v>
      </c>
      <c r="L731" s="373">
        <v>1</v>
      </c>
    </row>
    <row r="732" spans="1:12" ht="21">
      <c r="A732" s="565">
        <v>727</v>
      </c>
      <c r="B732" s="560" t="s">
        <v>277</v>
      </c>
      <c r="C732" s="560" t="s">
        <v>462</v>
      </c>
      <c r="D732" s="560" t="s">
        <v>291</v>
      </c>
      <c r="E732" s="560">
        <v>1008</v>
      </c>
      <c r="F732" s="560">
        <v>46</v>
      </c>
      <c r="G732" s="560" t="s">
        <v>487</v>
      </c>
      <c r="H732" s="566">
        <v>384.87972508591059</v>
      </c>
      <c r="I732" s="567" t="s">
        <v>472</v>
      </c>
      <c r="J732" s="568" t="s">
        <v>288</v>
      </c>
      <c r="L732" s="373">
        <v>1</v>
      </c>
    </row>
    <row r="733" spans="1:12" ht="21">
      <c r="A733" s="565">
        <v>728</v>
      </c>
      <c r="B733" s="560" t="s">
        <v>277</v>
      </c>
      <c r="C733" s="560" t="s">
        <v>462</v>
      </c>
      <c r="D733" s="560" t="s">
        <v>292</v>
      </c>
      <c r="E733" s="560">
        <v>1075</v>
      </c>
      <c r="F733" s="560">
        <v>50</v>
      </c>
      <c r="G733" s="560" t="s">
        <v>487</v>
      </c>
      <c r="H733" s="566">
        <v>410.46200840015268</v>
      </c>
      <c r="I733" s="567" t="s">
        <v>493</v>
      </c>
      <c r="J733" s="568" t="s">
        <v>288</v>
      </c>
      <c r="L733" s="373">
        <v>1</v>
      </c>
    </row>
    <row r="734" spans="1:12" ht="21">
      <c r="A734" s="565">
        <v>729</v>
      </c>
      <c r="B734" s="560" t="s">
        <v>277</v>
      </c>
      <c r="C734" s="560" t="s">
        <v>462</v>
      </c>
      <c r="D734" s="560" t="s">
        <v>291</v>
      </c>
      <c r="E734" s="560">
        <v>1008</v>
      </c>
      <c r="F734" s="560">
        <v>46</v>
      </c>
      <c r="G734" s="560" t="s">
        <v>487</v>
      </c>
      <c r="H734" s="566">
        <v>384.87972508591059</v>
      </c>
      <c r="I734" s="567" t="s">
        <v>481</v>
      </c>
      <c r="J734" s="568" t="s">
        <v>288</v>
      </c>
      <c r="L734" s="373">
        <v>1</v>
      </c>
    </row>
    <row r="735" spans="1:12" ht="21">
      <c r="A735" s="565">
        <v>730</v>
      </c>
      <c r="B735" s="560" t="s">
        <v>277</v>
      </c>
      <c r="C735" s="560" t="s">
        <v>462</v>
      </c>
      <c r="D735" s="560" t="s">
        <v>291</v>
      </c>
      <c r="E735" s="560">
        <v>1008</v>
      </c>
      <c r="F735" s="560">
        <v>45</v>
      </c>
      <c r="G735" s="560" t="s">
        <v>487</v>
      </c>
      <c r="H735" s="566">
        <v>384.87972508591059</v>
      </c>
      <c r="I735" s="567" t="s">
        <v>480</v>
      </c>
      <c r="J735" s="568" t="s">
        <v>288</v>
      </c>
      <c r="L735" s="373">
        <v>1</v>
      </c>
    </row>
    <row r="736" spans="1:12" ht="21">
      <c r="A736" s="565">
        <v>731</v>
      </c>
      <c r="B736" s="560" t="s">
        <v>277</v>
      </c>
      <c r="C736" s="560" t="s">
        <v>462</v>
      </c>
      <c r="D736" s="560" t="s">
        <v>293</v>
      </c>
      <c r="E736" s="560">
        <v>1075</v>
      </c>
      <c r="F736" s="560">
        <v>51</v>
      </c>
      <c r="G736" s="560" t="s">
        <v>487</v>
      </c>
      <c r="H736" s="566">
        <v>410.46200840015268</v>
      </c>
      <c r="I736" s="567" t="s">
        <v>472</v>
      </c>
      <c r="J736" s="568" t="s">
        <v>468</v>
      </c>
      <c r="L736" s="373">
        <v>1</v>
      </c>
    </row>
    <row r="737" spans="1:12" ht="21">
      <c r="A737" s="565">
        <v>732</v>
      </c>
      <c r="B737" s="560" t="s">
        <v>277</v>
      </c>
      <c r="C737" s="560" t="s">
        <v>462</v>
      </c>
      <c r="D737" s="560" t="s">
        <v>291</v>
      </c>
      <c r="E737" s="560">
        <v>1353</v>
      </c>
      <c r="F737" s="560">
        <v>67</v>
      </c>
      <c r="G737" s="560" t="s">
        <v>487</v>
      </c>
      <c r="H737" s="566">
        <v>516.60939289805265</v>
      </c>
      <c r="I737" s="567" t="s">
        <v>472</v>
      </c>
      <c r="J737" s="568" t="s">
        <v>288</v>
      </c>
      <c r="L737" s="373">
        <v>1</v>
      </c>
    </row>
    <row r="738" spans="1:12" ht="21">
      <c r="A738" s="565">
        <v>733</v>
      </c>
      <c r="B738" s="560" t="s">
        <v>277</v>
      </c>
      <c r="C738" s="560" t="s">
        <v>462</v>
      </c>
      <c r="D738" s="560" t="s">
        <v>291</v>
      </c>
      <c r="E738" s="560">
        <v>1301</v>
      </c>
      <c r="F738" s="560">
        <v>55</v>
      </c>
      <c r="G738" s="560" t="s">
        <v>487</v>
      </c>
      <c r="H738" s="566">
        <v>496.75448644520804</v>
      </c>
      <c r="I738" s="567" t="s">
        <v>480</v>
      </c>
      <c r="J738" s="568" t="s">
        <v>288</v>
      </c>
      <c r="L738" s="373">
        <v>1</v>
      </c>
    </row>
    <row r="739" spans="1:12" ht="21">
      <c r="A739" s="565">
        <v>734</v>
      </c>
      <c r="B739" s="560" t="s">
        <v>277</v>
      </c>
      <c r="C739" s="560" t="s">
        <v>462</v>
      </c>
      <c r="D739" s="560" t="s">
        <v>292</v>
      </c>
      <c r="E739" s="560">
        <v>1301</v>
      </c>
      <c r="F739" s="560">
        <v>49</v>
      </c>
      <c r="G739" s="560" t="s">
        <v>487</v>
      </c>
      <c r="H739" s="566">
        <v>496.75448644520804</v>
      </c>
      <c r="I739" s="567" t="s">
        <v>472</v>
      </c>
      <c r="J739" s="568" t="s">
        <v>288</v>
      </c>
      <c r="L739" s="373">
        <v>1</v>
      </c>
    </row>
    <row r="740" spans="1:12" ht="21">
      <c r="A740" s="565">
        <v>735</v>
      </c>
      <c r="B740" s="560" t="s">
        <v>277</v>
      </c>
      <c r="C740" s="560" t="s">
        <v>462</v>
      </c>
      <c r="D740" s="560" t="s">
        <v>292</v>
      </c>
      <c r="E740" s="560">
        <v>1301</v>
      </c>
      <c r="F740" s="560">
        <v>59</v>
      </c>
      <c r="G740" s="560" t="s">
        <v>487</v>
      </c>
      <c r="H740" s="566">
        <v>496.75448644520804</v>
      </c>
      <c r="I740" s="567" t="s">
        <v>481</v>
      </c>
      <c r="J740" s="568" t="s">
        <v>288</v>
      </c>
      <c r="L740" s="373">
        <v>1</v>
      </c>
    </row>
    <row r="741" spans="1:12" ht="21">
      <c r="A741" s="565">
        <v>736</v>
      </c>
      <c r="B741" s="560" t="s">
        <v>277</v>
      </c>
      <c r="C741" s="560" t="s">
        <v>462</v>
      </c>
      <c r="D741" s="560" t="s">
        <v>291</v>
      </c>
      <c r="E741" s="560">
        <v>1301</v>
      </c>
      <c r="F741" s="560">
        <v>60</v>
      </c>
      <c r="G741" s="560" t="s">
        <v>487</v>
      </c>
      <c r="H741" s="566">
        <v>496.75448644520804</v>
      </c>
      <c r="I741" s="567" t="s">
        <v>492</v>
      </c>
      <c r="J741" s="568" t="s">
        <v>288</v>
      </c>
      <c r="L741" s="373">
        <v>1</v>
      </c>
    </row>
    <row r="742" spans="1:12" ht="21">
      <c r="A742" s="565">
        <v>737</v>
      </c>
      <c r="B742" s="560" t="s">
        <v>277</v>
      </c>
      <c r="C742" s="560" t="s">
        <v>462</v>
      </c>
      <c r="D742" s="560" t="s">
        <v>291</v>
      </c>
      <c r="E742" s="560">
        <v>1301</v>
      </c>
      <c r="F742" s="560">
        <v>62</v>
      </c>
      <c r="G742" s="560" t="s">
        <v>487</v>
      </c>
      <c r="H742" s="566">
        <v>496.75448644520804</v>
      </c>
      <c r="I742" s="567" t="s">
        <v>492</v>
      </c>
      <c r="J742" s="568" t="s">
        <v>288</v>
      </c>
      <c r="L742" s="373">
        <v>1</v>
      </c>
    </row>
    <row r="743" spans="1:12" ht="21">
      <c r="A743" s="565">
        <v>738</v>
      </c>
      <c r="B743" s="560" t="s">
        <v>277</v>
      </c>
      <c r="C743" s="560" t="s">
        <v>462</v>
      </c>
      <c r="D743" s="560" t="s">
        <v>291</v>
      </c>
      <c r="E743" s="560">
        <v>9315</v>
      </c>
      <c r="F743" s="560">
        <v>156</v>
      </c>
      <c r="G743" s="560" t="s">
        <v>487</v>
      </c>
      <c r="H743" s="566">
        <v>3556.7010309278348</v>
      </c>
      <c r="I743" s="567" t="s">
        <v>472</v>
      </c>
      <c r="J743" s="568" t="s">
        <v>288</v>
      </c>
      <c r="L743" s="373">
        <v>1</v>
      </c>
    </row>
    <row r="744" spans="1:12" ht="21">
      <c r="A744" s="565">
        <v>739</v>
      </c>
      <c r="B744" s="560" t="s">
        <v>277</v>
      </c>
      <c r="C744" s="560" t="s">
        <v>462</v>
      </c>
      <c r="D744" s="560" t="s">
        <v>292</v>
      </c>
      <c r="E744" s="560">
        <v>2217</v>
      </c>
      <c r="F744" s="560">
        <v>106</v>
      </c>
      <c r="G744" s="560" t="s">
        <v>487</v>
      </c>
      <c r="H744" s="566">
        <v>846.50630011454746</v>
      </c>
      <c r="I744" s="567" t="s">
        <v>472</v>
      </c>
      <c r="J744" s="568" t="s">
        <v>288</v>
      </c>
      <c r="L744" s="373">
        <v>1</v>
      </c>
    </row>
    <row r="745" spans="1:12">
      <c r="A745" s="565">
        <v>740</v>
      </c>
      <c r="B745" s="560" t="s">
        <v>277</v>
      </c>
      <c r="C745" s="560" t="s">
        <v>462</v>
      </c>
      <c r="D745" s="560" t="s">
        <v>292</v>
      </c>
      <c r="E745" s="560">
        <v>1135</v>
      </c>
      <c r="F745" s="560">
        <v>46</v>
      </c>
      <c r="G745" s="560" t="s">
        <v>487</v>
      </c>
      <c r="H745" s="566">
        <v>433.37151584574264</v>
      </c>
      <c r="I745" s="567" t="s">
        <v>464</v>
      </c>
      <c r="J745" s="568" t="s">
        <v>288</v>
      </c>
      <c r="L745" s="373">
        <v>1</v>
      </c>
    </row>
    <row r="746" spans="1:12">
      <c r="A746" s="565">
        <v>741</v>
      </c>
      <c r="B746" s="560" t="s">
        <v>277</v>
      </c>
      <c r="C746" s="560" t="s">
        <v>462</v>
      </c>
      <c r="D746" s="560" t="s">
        <v>291</v>
      </c>
      <c r="E746" s="560">
        <v>1761</v>
      </c>
      <c r="F746" s="560">
        <v>61</v>
      </c>
      <c r="G746" s="560" t="s">
        <v>487</v>
      </c>
      <c r="H746" s="566">
        <v>672.39404352806412</v>
      </c>
      <c r="I746" s="567" t="s">
        <v>464</v>
      </c>
      <c r="J746" s="568" t="s">
        <v>288</v>
      </c>
      <c r="L746" s="373">
        <v>1</v>
      </c>
    </row>
    <row r="747" spans="1:12" ht="21">
      <c r="A747" s="565">
        <v>742</v>
      </c>
      <c r="B747" s="560" t="s">
        <v>277</v>
      </c>
      <c r="C747" s="560" t="s">
        <v>462</v>
      </c>
      <c r="D747" s="560" t="s">
        <v>291</v>
      </c>
      <c r="E747" s="560">
        <v>721</v>
      </c>
      <c r="F747" s="560">
        <v>27</v>
      </c>
      <c r="G747" s="560" t="s">
        <v>487</v>
      </c>
      <c r="H747" s="566">
        <v>275.29591447117218</v>
      </c>
      <c r="I747" s="567" t="s">
        <v>494</v>
      </c>
      <c r="J747" s="568" t="s">
        <v>288</v>
      </c>
      <c r="L747" s="373">
        <v>1</v>
      </c>
    </row>
    <row r="748" spans="1:12">
      <c r="A748" s="565">
        <v>743</v>
      </c>
      <c r="B748" s="560" t="s">
        <v>278</v>
      </c>
      <c r="C748" s="560" t="s">
        <v>462</v>
      </c>
      <c r="D748" s="560" t="s">
        <v>291</v>
      </c>
      <c r="E748" s="560">
        <v>137</v>
      </c>
      <c r="F748" s="560">
        <v>5</v>
      </c>
      <c r="G748" s="560" t="s">
        <v>34</v>
      </c>
      <c r="H748" s="566">
        <v>1756.4102564102564</v>
      </c>
      <c r="I748" s="567" t="s">
        <v>495</v>
      </c>
      <c r="J748" s="568" t="s">
        <v>288</v>
      </c>
      <c r="L748" s="373">
        <v>1</v>
      </c>
    </row>
    <row r="749" spans="1:12" ht="21">
      <c r="A749" s="565">
        <v>744</v>
      </c>
      <c r="B749" s="560" t="s">
        <v>278</v>
      </c>
      <c r="C749" s="560" t="s">
        <v>462</v>
      </c>
      <c r="D749" s="560" t="s">
        <v>291</v>
      </c>
      <c r="E749" s="560">
        <v>128</v>
      </c>
      <c r="F749" s="560">
        <v>4</v>
      </c>
      <c r="G749" s="560" t="s">
        <v>286</v>
      </c>
      <c r="H749" s="566">
        <v>3.5904628330995796</v>
      </c>
      <c r="I749" s="567" t="s">
        <v>288</v>
      </c>
      <c r="J749" s="568" t="s">
        <v>496</v>
      </c>
      <c r="L749" s="373">
        <v>1</v>
      </c>
    </row>
    <row r="750" spans="1:12" ht="21">
      <c r="A750" s="565">
        <v>745</v>
      </c>
      <c r="B750" s="560" t="s">
        <v>278</v>
      </c>
      <c r="C750" s="560" t="s">
        <v>462</v>
      </c>
      <c r="D750" s="560" t="s">
        <v>293</v>
      </c>
      <c r="E750" s="560">
        <v>141</v>
      </c>
      <c r="F750" s="560">
        <v>3</v>
      </c>
      <c r="G750" s="560" t="s">
        <v>286</v>
      </c>
      <c r="H750" s="566">
        <v>3.9551192145862553</v>
      </c>
      <c r="I750" s="567" t="s">
        <v>489</v>
      </c>
      <c r="J750" s="568" t="s">
        <v>288</v>
      </c>
      <c r="L750" s="373">
        <v>1</v>
      </c>
    </row>
    <row r="751" spans="1:12" ht="21">
      <c r="A751" s="565">
        <v>746</v>
      </c>
      <c r="B751" s="560" t="s">
        <v>278</v>
      </c>
      <c r="C751" s="560" t="s">
        <v>462</v>
      </c>
      <c r="D751" s="560" t="s">
        <v>291</v>
      </c>
      <c r="E751" s="560">
        <v>132</v>
      </c>
      <c r="F751" s="560">
        <v>5</v>
      </c>
      <c r="G751" s="560" t="s">
        <v>286</v>
      </c>
      <c r="H751" s="566">
        <v>3.7026647966339414</v>
      </c>
      <c r="I751" s="567" t="s">
        <v>489</v>
      </c>
      <c r="J751" s="568" t="s">
        <v>288</v>
      </c>
      <c r="L751" s="373">
        <v>1</v>
      </c>
    </row>
    <row r="752" spans="1:12" ht="21">
      <c r="A752" s="565">
        <v>747</v>
      </c>
      <c r="B752" s="560" t="s">
        <v>278</v>
      </c>
      <c r="C752" s="560" t="s">
        <v>462</v>
      </c>
      <c r="D752" s="560" t="s">
        <v>291</v>
      </c>
      <c r="E752" s="560">
        <v>110</v>
      </c>
      <c r="F752" s="560">
        <v>3</v>
      </c>
      <c r="G752" s="560" t="s">
        <v>34</v>
      </c>
      <c r="H752" s="566">
        <v>1410.2564102564102</v>
      </c>
      <c r="I752" s="567" t="s">
        <v>495</v>
      </c>
      <c r="J752" s="568" t="s">
        <v>497</v>
      </c>
      <c r="L752" s="373">
        <v>1</v>
      </c>
    </row>
    <row r="753" spans="1:12" ht="21">
      <c r="A753" s="565">
        <v>748</v>
      </c>
      <c r="B753" s="560" t="s">
        <v>278</v>
      </c>
      <c r="C753" s="560" t="s">
        <v>462</v>
      </c>
      <c r="D753" s="560" t="s">
        <v>293</v>
      </c>
      <c r="E753" s="560">
        <v>131</v>
      </c>
      <c r="F753" s="560">
        <v>4</v>
      </c>
      <c r="G753" s="560" t="s">
        <v>34</v>
      </c>
      <c r="H753" s="566">
        <v>1679.4871794871794</v>
      </c>
      <c r="I753" s="567" t="s">
        <v>489</v>
      </c>
      <c r="J753" s="568" t="s">
        <v>288</v>
      </c>
      <c r="L753" s="373">
        <v>1</v>
      </c>
    </row>
    <row r="754" spans="1:12">
      <c r="A754" s="565">
        <v>749</v>
      </c>
      <c r="B754" s="560" t="s">
        <v>278</v>
      </c>
      <c r="C754" s="560" t="s">
        <v>462</v>
      </c>
      <c r="D754" s="560" t="s">
        <v>291</v>
      </c>
      <c r="E754" s="560">
        <v>98</v>
      </c>
      <c r="F754" s="560">
        <v>5</v>
      </c>
      <c r="G754" s="560" t="s">
        <v>34</v>
      </c>
      <c r="H754" s="566">
        <v>1256.4102564102564</v>
      </c>
      <c r="I754" s="567" t="s">
        <v>464</v>
      </c>
      <c r="J754" s="568" t="s">
        <v>288</v>
      </c>
      <c r="L754" s="373">
        <v>1</v>
      </c>
    </row>
    <row r="755" spans="1:12" ht="21">
      <c r="A755" s="565">
        <v>750</v>
      </c>
      <c r="B755" s="560" t="s">
        <v>278</v>
      </c>
      <c r="C755" s="560" t="s">
        <v>462</v>
      </c>
      <c r="D755" s="560" t="s">
        <v>291</v>
      </c>
      <c r="E755" s="560">
        <v>119</v>
      </c>
      <c r="F755" s="560">
        <v>3</v>
      </c>
      <c r="G755" s="560" t="s">
        <v>34</v>
      </c>
      <c r="H755" s="566">
        <v>1525.6410256410256</v>
      </c>
      <c r="I755" s="567" t="s">
        <v>464</v>
      </c>
      <c r="J755" s="568" t="s">
        <v>498</v>
      </c>
      <c r="L755" s="373">
        <v>1</v>
      </c>
    </row>
    <row r="756" spans="1:12" ht="21">
      <c r="A756" s="565">
        <v>751</v>
      </c>
      <c r="B756" s="560" t="s">
        <v>278</v>
      </c>
      <c r="C756" s="560" t="s">
        <v>462</v>
      </c>
      <c r="D756" s="560" t="s">
        <v>291</v>
      </c>
      <c r="E756" s="560">
        <v>141</v>
      </c>
      <c r="F756" s="560">
        <v>3</v>
      </c>
      <c r="G756" s="560" t="s">
        <v>34</v>
      </c>
      <c r="H756" s="566">
        <v>1807.6923076923076</v>
      </c>
      <c r="I756" s="567" t="s">
        <v>489</v>
      </c>
      <c r="J756" s="568" t="s">
        <v>288</v>
      </c>
      <c r="L756" s="373">
        <v>1</v>
      </c>
    </row>
    <row r="757" spans="1:12" ht="21">
      <c r="A757" s="565">
        <v>752</v>
      </c>
      <c r="B757" s="560" t="s">
        <v>278</v>
      </c>
      <c r="C757" s="560" t="s">
        <v>462</v>
      </c>
      <c r="D757" s="560" t="s">
        <v>291</v>
      </c>
      <c r="E757" s="560">
        <v>137</v>
      </c>
      <c r="F757" s="560">
        <v>4</v>
      </c>
      <c r="G757" s="560" t="s">
        <v>34</v>
      </c>
      <c r="H757" s="566">
        <v>1756.4102564102564</v>
      </c>
      <c r="I757" s="567" t="s">
        <v>464</v>
      </c>
      <c r="J757" s="568" t="s">
        <v>498</v>
      </c>
      <c r="L757" s="373">
        <v>1</v>
      </c>
    </row>
    <row r="758" spans="1:12" ht="21">
      <c r="A758" s="565">
        <v>753</v>
      </c>
      <c r="B758" s="560" t="s">
        <v>278</v>
      </c>
      <c r="C758" s="560" t="s">
        <v>462</v>
      </c>
      <c r="D758" s="560" t="s">
        <v>291</v>
      </c>
      <c r="E758" s="560">
        <v>127</v>
      </c>
      <c r="F758" s="560">
        <v>4</v>
      </c>
      <c r="G758" s="560" t="s">
        <v>34</v>
      </c>
      <c r="H758" s="566">
        <v>1628.2051282051282</v>
      </c>
      <c r="I758" s="567" t="s">
        <v>288</v>
      </c>
      <c r="J758" s="568" t="s">
        <v>496</v>
      </c>
      <c r="L758" s="373">
        <v>1</v>
      </c>
    </row>
    <row r="759" spans="1:12" ht="21">
      <c r="A759" s="565">
        <v>754</v>
      </c>
      <c r="B759" s="560" t="s">
        <v>278</v>
      </c>
      <c r="C759" s="560" t="s">
        <v>462</v>
      </c>
      <c r="D759" s="560" t="s">
        <v>291</v>
      </c>
      <c r="E759" s="560">
        <v>138</v>
      </c>
      <c r="F759" s="560">
        <v>5</v>
      </c>
      <c r="G759" s="560" t="s">
        <v>34</v>
      </c>
      <c r="H759" s="566">
        <v>1769.2307692307693</v>
      </c>
      <c r="I759" s="567" t="s">
        <v>489</v>
      </c>
      <c r="J759" s="568" t="s">
        <v>288</v>
      </c>
      <c r="L759" s="373">
        <v>1</v>
      </c>
    </row>
    <row r="760" spans="1:12">
      <c r="A760" s="565">
        <v>755</v>
      </c>
      <c r="B760" s="560" t="s">
        <v>278</v>
      </c>
      <c r="C760" s="560" t="s">
        <v>462</v>
      </c>
      <c r="D760" s="560" t="s">
        <v>291</v>
      </c>
      <c r="E760" s="560">
        <v>110</v>
      </c>
      <c r="F760" s="560">
        <v>4</v>
      </c>
      <c r="G760" s="560" t="s">
        <v>34</v>
      </c>
      <c r="H760" s="566">
        <v>1410.2564102564102</v>
      </c>
      <c r="I760" s="567" t="s">
        <v>499</v>
      </c>
      <c r="J760" s="568" t="s">
        <v>288</v>
      </c>
      <c r="L760" s="373">
        <v>1</v>
      </c>
    </row>
    <row r="761" spans="1:12">
      <c r="A761" s="565">
        <v>756</v>
      </c>
      <c r="B761" s="560" t="s">
        <v>278</v>
      </c>
      <c r="C761" s="560" t="s">
        <v>462</v>
      </c>
      <c r="D761" s="560" t="s">
        <v>291</v>
      </c>
      <c r="E761" s="560">
        <v>150</v>
      </c>
      <c r="F761" s="560">
        <v>6</v>
      </c>
      <c r="G761" s="560" t="s">
        <v>34</v>
      </c>
      <c r="H761" s="566">
        <v>1923.0769230769231</v>
      </c>
      <c r="I761" s="567" t="s">
        <v>499</v>
      </c>
      <c r="J761" s="568" t="s">
        <v>288</v>
      </c>
      <c r="L761" s="373">
        <v>1</v>
      </c>
    </row>
    <row r="762" spans="1:12" ht="21">
      <c r="A762" s="565">
        <v>757</v>
      </c>
      <c r="B762" s="560" t="s">
        <v>278</v>
      </c>
      <c r="C762" s="560" t="s">
        <v>462</v>
      </c>
      <c r="D762" s="560" t="s">
        <v>291</v>
      </c>
      <c r="E762" s="560">
        <v>170</v>
      </c>
      <c r="F762" s="560">
        <v>7</v>
      </c>
      <c r="G762" s="560" t="s">
        <v>34</v>
      </c>
      <c r="H762" s="566">
        <v>2179.4871794871797</v>
      </c>
      <c r="I762" s="567" t="s">
        <v>288</v>
      </c>
      <c r="J762" s="568" t="s">
        <v>496</v>
      </c>
      <c r="L762" s="373">
        <v>1</v>
      </c>
    </row>
    <row r="763" spans="1:12" ht="21">
      <c r="A763" s="565">
        <v>758</v>
      </c>
      <c r="B763" s="560" t="s">
        <v>278</v>
      </c>
      <c r="C763" s="560" t="s">
        <v>462</v>
      </c>
      <c r="D763" s="560" t="s">
        <v>291</v>
      </c>
      <c r="E763" s="560">
        <v>150</v>
      </c>
      <c r="F763" s="560">
        <v>6</v>
      </c>
      <c r="G763" s="560" t="s">
        <v>34</v>
      </c>
      <c r="H763" s="566">
        <v>1923.0769230769231</v>
      </c>
      <c r="I763" s="567" t="s">
        <v>489</v>
      </c>
      <c r="J763" s="568" t="s">
        <v>288</v>
      </c>
      <c r="L763" s="373">
        <v>1</v>
      </c>
    </row>
    <row r="764" spans="1:12" ht="21">
      <c r="A764" s="565">
        <v>759</v>
      </c>
      <c r="B764" s="560" t="s">
        <v>278</v>
      </c>
      <c r="C764" s="560" t="s">
        <v>462</v>
      </c>
      <c r="D764" s="560" t="s">
        <v>292</v>
      </c>
      <c r="E764" s="560">
        <v>90</v>
      </c>
      <c r="F764" s="560">
        <v>3</v>
      </c>
      <c r="G764" s="560" t="s">
        <v>286</v>
      </c>
      <c r="H764" s="566">
        <v>2.5245441795231418</v>
      </c>
      <c r="I764" s="567" t="s">
        <v>288</v>
      </c>
      <c r="J764" s="568" t="s">
        <v>496</v>
      </c>
      <c r="L764" s="373">
        <v>1</v>
      </c>
    </row>
    <row r="765" spans="1:12">
      <c r="A765" s="565">
        <v>760</v>
      </c>
      <c r="B765" s="560" t="s">
        <v>278</v>
      </c>
      <c r="C765" s="560" t="s">
        <v>462</v>
      </c>
      <c r="D765" s="560" t="s">
        <v>291</v>
      </c>
      <c r="E765" s="560">
        <v>128</v>
      </c>
      <c r="F765" s="560">
        <v>7</v>
      </c>
      <c r="G765" s="560" t="s">
        <v>34</v>
      </c>
      <c r="H765" s="566">
        <v>1641.0256410256411</v>
      </c>
      <c r="I765" s="567" t="s">
        <v>499</v>
      </c>
      <c r="J765" s="568" t="s">
        <v>288</v>
      </c>
      <c r="L765" s="373">
        <v>1</v>
      </c>
    </row>
    <row r="766" spans="1:12">
      <c r="A766" s="565">
        <v>761</v>
      </c>
      <c r="B766" s="560" t="s">
        <v>278</v>
      </c>
      <c r="C766" s="560" t="s">
        <v>462</v>
      </c>
      <c r="D766" s="560" t="s">
        <v>291</v>
      </c>
      <c r="E766" s="560">
        <v>158</v>
      </c>
      <c r="F766" s="560">
        <v>6</v>
      </c>
      <c r="G766" s="560" t="s">
        <v>34</v>
      </c>
      <c r="H766" s="566">
        <v>2025.6410256410256</v>
      </c>
      <c r="I766" s="567" t="s">
        <v>499</v>
      </c>
      <c r="J766" s="568" t="s">
        <v>288</v>
      </c>
      <c r="L766" s="373">
        <v>1</v>
      </c>
    </row>
    <row r="767" spans="1:12" ht="21">
      <c r="A767" s="565">
        <v>762</v>
      </c>
      <c r="B767" s="560" t="s">
        <v>278</v>
      </c>
      <c r="C767" s="560" t="s">
        <v>462</v>
      </c>
      <c r="D767" s="560" t="s">
        <v>292</v>
      </c>
      <c r="E767" s="560">
        <v>139</v>
      </c>
      <c r="F767" s="560">
        <v>5</v>
      </c>
      <c r="G767" s="560" t="s">
        <v>286</v>
      </c>
      <c r="H767" s="566">
        <v>3.8990182328190746</v>
      </c>
      <c r="I767" s="567" t="s">
        <v>464</v>
      </c>
      <c r="J767" s="568" t="s">
        <v>498</v>
      </c>
      <c r="L767" s="373">
        <v>1</v>
      </c>
    </row>
    <row r="768" spans="1:12">
      <c r="A768" s="565">
        <v>763</v>
      </c>
      <c r="B768" s="560" t="s">
        <v>278</v>
      </c>
      <c r="C768" s="560" t="s">
        <v>462</v>
      </c>
      <c r="D768" s="560" t="s">
        <v>291</v>
      </c>
      <c r="E768" s="560">
        <v>152</v>
      </c>
      <c r="F768" s="560">
        <v>9</v>
      </c>
      <c r="G768" s="560" t="s">
        <v>34</v>
      </c>
      <c r="H768" s="566">
        <v>1948.7179487179487</v>
      </c>
      <c r="I768" s="567" t="s">
        <v>499</v>
      </c>
      <c r="J768" s="568" t="s">
        <v>288</v>
      </c>
      <c r="L768" s="373">
        <v>1</v>
      </c>
    </row>
    <row r="769" spans="1:12">
      <c r="A769" s="565">
        <v>764</v>
      </c>
      <c r="B769" s="560" t="s">
        <v>278</v>
      </c>
      <c r="C769" s="560" t="s">
        <v>462</v>
      </c>
      <c r="D769" s="560" t="s">
        <v>291</v>
      </c>
      <c r="E769" s="560">
        <v>179</v>
      </c>
      <c r="F769" s="560">
        <v>8</v>
      </c>
      <c r="G769" s="560" t="s">
        <v>34</v>
      </c>
      <c r="H769" s="566">
        <v>2294.8717948717949</v>
      </c>
      <c r="I769" s="567" t="s">
        <v>499</v>
      </c>
      <c r="J769" s="568" t="s">
        <v>288</v>
      </c>
      <c r="L769" s="373">
        <v>1</v>
      </c>
    </row>
    <row r="770" spans="1:12">
      <c r="A770" s="565">
        <v>765</v>
      </c>
      <c r="B770" s="560" t="s">
        <v>278</v>
      </c>
      <c r="C770" s="560" t="s">
        <v>462</v>
      </c>
      <c r="D770" s="560" t="s">
        <v>291</v>
      </c>
      <c r="E770" s="560">
        <v>128</v>
      </c>
      <c r="F770" s="560">
        <v>5</v>
      </c>
      <c r="G770" s="560" t="s">
        <v>34</v>
      </c>
      <c r="H770" s="566">
        <v>1641.0256410256411</v>
      </c>
      <c r="I770" s="567" t="s">
        <v>499</v>
      </c>
      <c r="J770" s="568" t="s">
        <v>288</v>
      </c>
      <c r="L770" s="373">
        <v>1</v>
      </c>
    </row>
    <row r="771" spans="1:12">
      <c r="A771" s="565">
        <v>766</v>
      </c>
      <c r="B771" s="560" t="s">
        <v>278</v>
      </c>
      <c r="C771" s="560" t="s">
        <v>462</v>
      </c>
      <c r="D771" s="560" t="s">
        <v>292</v>
      </c>
      <c r="E771" s="560">
        <v>141</v>
      </c>
      <c r="F771" s="560">
        <v>7</v>
      </c>
      <c r="G771" s="560" t="s">
        <v>286</v>
      </c>
      <c r="H771" s="566">
        <v>3.9551192145862553</v>
      </c>
      <c r="I771" s="567" t="s">
        <v>499</v>
      </c>
      <c r="J771" s="568" t="s">
        <v>288</v>
      </c>
      <c r="L771" s="373">
        <v>1</v>
      </c>
    </row>
    <row r="772" spans="1:12" ht="21">
      <c r="A772" s="565">
        <v>767</v>
      </c>
      <c r="B772" s="560" t="s">
        <v>278</v>
      </c>
      <c r="C772" s="560" t="s">
        <v>462</v>
      </c>
      <c r="D772" s="560" t="s">
        <v>291</v>
      </c>
      <c r="E772" s="560">
        <v>146</v>
      </c>
      <c r="F772" s="560">
        <v>4</v>
      </c>
      <c r="G772" s="560" t="s">
        <v>34</v>
      </c>
      <c r="H772" s="566">
        <v>1871.7948717948718</v>
      </c>
      <c r="I772" s="567" t="s">
        <v>288</v>
      </c>
      <c r="J772" s="568" t="s">
        <v>496</v>
      </c>
      <c r="L772" s="373">
        <v>1</v>
      </c>
    </row>
    <row r="773" spans="1:12">
      <c r="A773" s="565">
        <v>768</v>
      </c>
      <c r="B773" s="560" t="s">
        <v>278</v>
      </c>
      <c r="C773" s="560" t="s">
        <v>462</v>
      </c>
      <c r="D773" s="560" t="s">
        <v>291</v>
      </c>
      <c r="E773" s="560">
        <v>138</v>
      </c>
      <c r="F773" s="560">
        <v>5</v>
      </c>
      <c r="G773" s="560" t="s">
        <v>34</v>
      </c>
      <c r="H773" s="566">
        <v>1769.2307692307693</v>
      </c>
      <c r="I773" s="567" t="s">
        <v>499</v>
      </c>
      <c r="J773" s="568" t="s">
        <v>288</v>
      </c>
      <c r="L773" s="373">
        <v>1</v>
      </c>
    </row>
    <row r="774" spans="1:12" ht="21">
      <c r="A774" s="565">
        <v>769</v>
      </c>
      <c r="B774" s="560" t="s">
        <v>278</v>
      </c>
      <c r="C774" s="560" t="s">
        <v>462</v>
      </c>
      <c r="D774" s="560" t="s">
        <v>291</v>
      </c>
      <c r="E774" s="560">
        <v>162</v>
      </c>
      <c r="F774" s="560">
        <v>7</v>
      </c>
      <c r="G774" s="560" t="s">
        <v>34</v>
      </c>
      <c r="H774" s="566">
        <v>2076.9230769230771</v>
      </c>
      <c r="I774" s="567" t="s">
        <v>288</v>
      </c>
      <c r="J774" s="568" t="s">
        <v>496</v>
      </c>
      <c r="L774" s="373">
        <v>1</v>
      </c>
    </row>
    <row r="775" spans="1:12" ht="21">
      <c r="A775" s="565">
        <v>770</v>
      </c>
      <c r="B775" s="560" t="s">
        <v>278</v>
      </c>
      <c r="C775" s="560" t="s">
        <v>462</v>
      </c>
      <c r="D775" s="560" t="s">
        <v>294</v>
      </c>
      <c r="E775" s="560">
        <v>119</v>
      </c>
      <c r="F775" s="560">
        <v>3</v>
      </c>
      <c r="G775" s="560" t="s">
        <v>34</v>
      </c>
      <c r="H775" s="566">
        <v>1525.6410256410256</v>
      </c>
      <c r="I775" s="567" t="s">
        <v>489</v>
      </c>
      <c r="J775" s="568" t="s">
        <v>288</v>
      </c>
      <c r="L775" s="373">
        <v>1</v>
      </c>
    </row>
    <row r="776" spans="1:12" ht="21">
      <c r="A776" s="565">
        <v>771</v>
      </c>
      <c r="B776" s="560" t="s">
        <v>278</v>
      </c>
      <c r="C776" s="560" t="s">
        <v>462</v>
      </c>
      <c r="D776" s="560" t="s">
        <v>291</v>
      </c>
      <c r="E776" s="560">
        <v>121</v>
      </c>
      <c r="F776" s="560">
        <v>5</v>
      </c>
      <c r="G776" s="560" t="s">
        <v>34</v>
      </c>
      <c r="H776" s="566">
        <v>1551.2820512820513</v>
      </c>
      <c r="I776" s="567" t="s">
        <v>464</v>
      </c>
      <c r="J776" s="568" t="s">
        <v>498</v>
      </c>
      <c r="L776" s="373">
        <v>1</v>
      </c>
    </row>
    <row r="777" spans="1:12">
      <c r="A777" s="565">
        <v>772</v>
      </c>
      <c r="B777" s="560" t="s">
        <v>278</v>
      </c>
      <c r="C777" s="560" t="s">
        <v>462</v>
      </c>
      <c r="D777" s="560" t="s">
        <v>291</v>
      </c>
      <c r="E777" s="560">
        <v>151</v>
      </c>
      <c r="F777" s="560">
        <v>5</v>
      </c>
      <c r="G777" s="560" t="s">
        <v>34</v>
      </c>
      <c r="H777" s="566">
        <v>1935.8974358974358</v>
      </c>
      <c r="I777" s="567" t="s">
        <v>499</v>
      </c>
      <c r="J777" s="568" t="s">
        <v>500</v>
      </c>
      <c r="L777" s="373">
        <v>1</v>
      </c>
    </row>
    <row r="778" spans="1:12" ht="21">
      <c r="A778" s="565">
        <v>773</v>
      </c>
      <c r="B778" s="560" t="s">
        <v>278</v>
      </c>
      <c r="C778" s="560" t="s">
        <v>462</v>
      </c>
      <c r="D778" s="560" t="s">
        <v>293</v>
      </c>
      <c r="E778" s="560">
        <v>123</v>
      </c>
      <c r="F778" s="560">
        <v>3</v>
      </c>
      <c r="G778" s="560" t="s">
        <v>34</v>
      </c>
      <c r="H778" s="566">
        <v>1576.9230769230769</v>
      </c>
      <c r="I778" s="567" t="s">
        <v>489</v>
      </c>
      <c r="J778" s="568" t="s">
        <v>288</v>
      </c>
      <c r="L778" s="373">
        <v>1</v>
      </c>
    </row>
    <row r="779" spans="1:12">
      <c r="A779" s="565">
        <v>774</v>
      </c>
      <c r="B779" s="560" t="s">
        <v>278</v>
      </c>
      <c r="C779" s="560" t="s">
        <v>462</v>
      </c>
      <c r="D779" s="560" t="s">
        <v>291</v>
      </c>
      <c r="E779" s="560">
        <v>162</v>
      </c>
      <c r="F779" s="560">
        <v>6</v>
      </c>
      <c r="G779" s="560" t="s">
        <v>34</v>
      </c>
      <c r="H779" s="566">
        <v>2076.9230769230771</v>
      </c>
      <c r="I779" s="567" t="s">
        <v>499</v>
      </c>
      <c r="J779" s="568" t="s">
        <v>288</v>
      </c>
      <c r="L779" s="373">
        <v>1</v>
      </c>
    </row>
    <row r="780" spans="1:12">
      <c r="A780" s="565">
        <v>775</v>
      </c>
      <c r="B780" s="560" t="s">
        <v>278</v>
      </c>
      <c r="C780" s="560" t="s">
        <v>462</v>
      </c>
      <c r="D780" s="560" t="s">
        <v>291</v>
      </c>
      <c r="E780" s="560">
        <v>136</v>
      </c>
      <c r="F780" s="560">
        <v>4</v>
      </c>
      <c r="G780" s="560" t="s">
        <v>34</v>
      </c>
      <c r="H780" s="566">
        <v>1743.5897435897436</v>
      </c>
      <c r="I780" s="567" t="s">
        <v>499</v>
      </c>
      <c r="J780" s="568" t="s">
        <v>288</v>
      </c>
      <c r="L780" s="373">
        <v>1</v>
      </c>
    </row>
    <row r="781" spans="1:12">
      <c r="A781" s="565">
        <v>776</v>
      </c>
      <c r="B781" s="560" t="s">
        <v>277</v>
      </c>
      <c r="C781" s="560" t="s">
        <v>462</v>
      </c>
      <c r="D781" s="560" t="s">
        <v>291</v>
      </c>
      <c r="E781" s="560">
        <v>230</v>
      </c>
      <c r="F781" s="560">
        <v>11</v>
      </c>
      <c r="G781" s="560" t="s">
        <v>34</v>
      </c>
      <c r="H781" s="566">
        <v>2948.7179487179487</v>
      </c>
      <c r="I781" s="567" t="s">
        <v>499</v>
      </c>
      <c r="J781" s="568" t="s">
        <v>288</v>
      </c>
      <c r="L781" s="373">
        <v>1</v>
      </c>
    </row>
    <row r="782" spans="1:12" ht="21">
      <c r="A782" s="565">
        <v>777</v>
      </c>
      <c r="B782" s="560" t="s">
        <v>277</v>
      </c>
      <c r="C782" s="560" t="s">
        <v>462</v>
      </c>
      <c r="D782" s="560" t="s">
        <v>293</v>
      </c>
      <c r="E782" s="560">
        <v>220</v>
      </c>
      <c r="F782" s="560">
        <v>10</v>
      </c>
      <c r="G782" s="560" t="s">
        <v>34</v>
      </c>
      <c r="H782" s="566">
        <v>2820.5128205128203</v>
      </c>
      <c r="I782" s="567" t="s">
        <v>489</v>
      </c>
      <c r="J782" s="568" t="s">
        <v>288</v>
      </c>
      <c r="L782" s="373">
        <v>1</v>
      </c>
    </row>
    <row r="783" spans="1:12">
      <c r="A783" s="565">
        <v>778</v>
      </c>
      <c r="B783" s="560" t="s">
        <v>278</v>
      </c>
      <c r="C783" s="560" t="s">
        <v>462</v>
      </c>
      <c r="D783" s="560" t="s">
        <v>291</v>
      </c>
      <c r="E783" s="560">
        <v>161</v>
      </c>
      <c r="F783" s="560">
        <v>6</v>
      </c>
      <c r="G783" s="560" t="s">
        <v>34</v>
      </c>
      <c r="H783" s="566">
        <v>2064.102564102564</v>
      </c>
      <c r="I783" s="567" t="s">
        <v>499</v>
      </c>
      <c r="J783" s="568" t="s">
        <v>288</v>
      </c>
      <c r="L783" s="373">
        <v>1</v>
      </c>
    </row>
    <row r="784" spans="1:12" ht="21">
      <c r="A784" s="565">
        <v>779</v>
      </c>
      <c r="B784" s="560" t="s">
        <v>277</v>
      </c>
      <c r="C784" s="560" t="s">
        <v>462</v>
      </c>
      <c r="D784" s="560" t="s">
        <v>292</v>
      </c>
      <c r="E784" s="560">
        <v>159</v>
      </c>
      <c r="F784" s="560">
        <v>7</v>
      </c>
      <c r="G784" s="560" t="s">
        <v>34</v>
      </c>
      <c r="H784" s="566">
        <v>2038.4615384615386</v>
      </c>
      <c r="I784" s="567" t="s">
        <v>288</v>
      </c>
      <c r="J784" s="568" t="s">
        <v>496</v>
      </c>
      <c r="L784" s="373">
        <v>1</v>
      </c>
    </row>
    <row r="785" spans="1:12" ht="21">
      <c r="A785" s="565">
        <v>780</v>
      </c>
      <c r="B785" s="560" t="s">
        <v>277</v>
      </c>
      <c r="C785" s="560" t="s">
        <v>462</v>
      </c>
      <c r="D785" s="560" t="s">
        <v>291</v>
      </c>
      <c r="E785" s="560">
        <v>180</v>
      </c>
      <c r="F785" s="560">
        <v>10</v>
      </c>
      <c r="G785" s="560" t="s">
        <v>34</v>
      </c>
      <c r="H785" s="566">
        <v>2307.6923076923076</v>
      </c>
      <c r="I785" s="567" t="s">
        <v>464</v>
      </c>
      <c r="J785" s="568" t="s">
        <v>498</v>
      </c>
      <c r="L785" s="373">
        <v>1</v>
      </c>
    </row>
    <row r="786" spans="1:12" ht="21">
      <c r="A786" s="565">
        <v>781</v>
      </c>
      <c r="B786" s="560" t="s">
        <v>278</v>
      </c>
      <c r="C786" s="560" t="s">
        <v>462</v>
      </c>
      <c r="D786" s="560" t="s">
        <v>291</v>
      </c>
      <c r="E786" s="560">
        <v>171</v>
      </c>
      <c r="F786" s="560">
        <v>5</v>
      </c>
      <c r="G786" s="560" t="s">
        <v>34</v>
      </c>
      <c r="H786" s="566">
        <v>2192.3076923076924</v>
      </c>
      <c r="I786" s="567" t="s">
        <v>489</v>
      </c>
      <c r="J786" s="568" t="s">
        <v>288</v>
      </c>
      <c r="L786" s="373">
        <v>1</v>
      </c>
    </row>
    <row r="787" spans="1:12" ht="21">
      <c r="A787" s="565">
        <v>782</v>
      </c>
      <c r="B787" s="560" t="s">
        <v>278</v>
      </c>
      <c r="C787" s="560" t="s">
        <v>462</v>
      </c>
      <c r="D787" s="560" t="s">
        <v>292</v>
      </c>
      <c r="E787" s="560">
        <v>131</v>
      </c>
      <c r="F787" s="560">
        <v>4</v>
      </c>
      <c r="G787" s="560" t="s">
        <v>34</v>
      </c>
      <c r="H787" s="566">
        <v>1679.4871794871794</v>
      </c>
      <c r="I787" s="567" t="s">
        <v>288</v>
      </c>
      <c r="J787" s="568" t="s">
        <v>496</v>
      </c>
      <c r="L787" s="373">
        <v>1</v>
      </c>
    </row>
    <row r="788" spans="1:12" ht="21">
      <c r="A788" s="565">
        <v>783</v>
      </c>
      <c r="B788" s="560" t="s">
        <v>278</v>
      </c>
      <c r="C788" s="560" t="s">
        <v>462</v>
      </c>
      <c r="D788" s="560" t="s">
        <v>294</v>
      </c>
      <c r="E788" s="560">
        <v>170</v>
      </c>
      <c r="F788" s="560">
        <v>5</v>
      </c>
      <c r="G788" s="560" t="s">
        <v>34</v>
      </c>
      <c r="H788" s="566">
        <v>2179.4871794871797</v>
      </c>
      <c r="I788" s="567" t="s">
        <v>489</v>
      </c>
      <c r="J788" s="568" t="s">
        <v>288</v>
      </c>
      <c r="L788" s="373">
        <v>1</v>
      </c>
    </row>
    <row r="789" spans="1:12" ht="21">
      <c r="A789" s="565">
        <v>784</v>
      </c>
      <c r="B789" s="560" t="s">
        <v>278</v>
      </c>
      <c r="C789" s="560" t="s">
        <v>462</v>
      </c>
      <c r="D789" s="560" t="s">
        <v>293</v>
      </c>
      <c r="E789" s="560">
        <v>131</v>
      </c>
      <c r="F789" s="560">
        <v>3</v>
      </c>
      <c r="G789" s="560" t="s">
        <v>34</v>
      </c>
      <c r="H789" s="566">
        <v>1679.4871794871794</v>
      </c>
      <c r="I789" s="567" t="s">
        <v>489</v>
      </c>
      <c r="J789" s="568" t="s">
        <v>288</v>
      </c>
      <c r="L789" s="373">
        <v>1</v>
      </c>
    </row>
    <row r="790" spans="1:12" ht="21">
      <c r="A790" s="565">
        <v>785</v>
      </c>
      <c r="B790" s="560" t="s">
        <v>278</v>
      </c>
      <c r="C790" s="560" t="s">
        <v>462</v>
      </c>
      <c r="D790" s="560" t="s">
        <v>291</v>
      </c>
      <c r="E790" s="560">
        <v>145</v>
      </c>
      <c r="F790" s="560">
        <v>5</v>
      </c>
      <c r="G790" s="560" t="s">
        <v>34</v>
      </c>
      <c r="H790" s="566">
        <v>1858.9743589743589</v>
      </c>
      <c r="I790" s="567" t="s">
        <v>464</v>
      </c>
      <c r="J790" s="568" t="s">
        <v>498</v>
      </c>
      <c r="L790" s="373">
        <v>1</v>
      </c>
    </row>
    <row r="791" spans="1:12" ht="21">
      <c r="A791" s="565">
        <v>786</v>
      </c>
      <c r="B791" s="560" t="s">
        <v>278</v>
      </c>
      <c r="C791" s="560" t="s">
        <v>462</v>
      </c>
      <c r="D791" s="560" t="s">
        <v>291</v>
      </c>
      <c r="E791" s="560">
        <v>119</v>
      </c>
      <c r="F791" s="560">
        <v>4</v>
      </c>
      <c r="G791" s="560" t="s">
        <v>34</v>
      </c>
      <c r="H791" s="566">
        <v>1525.6410256410256</v>
      </c>
      <c r="I791" s="567" t="s">
        <v>288</v>
      </c>
      <c r="J791" s="568" t="s">
        <v>496</v>
      </c>
      <c r="L791" s="373">
        <v>1</v>
      </c>
    </row>
    <row r="792" spans="1:12">
      <c r="A792" s="565">
        <v>787</v>
      </c>
      <c r="B792" s="560" t="s">
        <v>278</v>
      </c>
      <c r="C792" s="560" t="s">
        <v>462</v>
      </c>
      <c r="D792" s="560" t="s">
        <v>291</v>
      </c>
      <c r="E792" s="560">
        <v>121</v>
      </c>
      <c r="F792" s="560">
        <v>3</v>
      </c>
      <c r="G792" s="560" t="s">
        <v>34</v>
      </c>
      <c r="H792" s="566">
        <v>1551.2820512820513</v>
      </c>
      <c r="I792" s="567" t="s">
        <v>499</v>
      </c>
      <c r="J792" s="568" t="s">
        <v>288</v>
      </c>
      <c r="L792" s="373">
        <v>1</v>
      </c>
    </row>
    <row r="793" spans="1:12">
      <c r="A793" s="565">
        <v>788</v>
      </c>
      <c r="B793" s="560" t="s">
        <v>278</v>
      </c>
      <c r="C793" s="560" t="s">
        <v>462</v>
      </c>
      <c r="D793" s="560" t="s">
        <v>291</v>
      </c>
      <c r="E793" s="560">
        <v>111</v>
      </c>
      <c r="F793" s="560">
        <v>5</v>
      </c>
      <c r="G793" s="560" t="s">
        <v>34</v>
      </c>
      <c r="H793" s="566">
        <v>1423.0769230769231</v>
      </c>
      <c r="I793" s="567" t="s">
        <v>499</v>
      </c>
      <c r="J793" s="568" t="s">
        <v>500</v>
      </c>
      <c r="L793" s="373">
        <v>1</v>
      </c>
    </row>
    <row r="794" spans="1:12">
      <c r="A794" s="565">
        <v>789</v>
      </c>
      <c r="B794" s="560" t="s">
        <v>278</v>
      </c>
      <c r="C794" s="560" t="s">
        <v>462</v>
      </c>
      <c r="D794" s="560" t="s">
        <v>291</v>
      </c>
      <c r="E794" s="560">
        <v>111</v>
      </c>
      <c r="F794" s="560">
        <v>5</v>
      </c>
      <c r="G794" s="560" t="s">
        <v>34</v>
      </c>
      <c r="H794" s="566">
        <v>1423.0769230769231</v>
      </c>
      <c r="I794" s="567" t="s">
        <v>499</v>
      </c>
      <c r="J794" s="568" t="s">
        <v>500</v>
      </c>
      <c r="L794" s="373">
        <v>1</v>
      </c>
    </row>
    <row r="795" spans="1:12">
      <c r="A795" s="565">
        <v>790</v>
      </c>
      <c r="B795" s="560" t="s">
        <v>278</v>
      </c>
      <c r="C795" s="560" t="s">
        <v>462</v>
      </c>
      <c r="D795" s="560" t="s">
        <v>291</v>
      </c>
      <c r="E795" s="560">
        <v>210</v>
      </c>
      <c r="F795" s="560">
        <v>6</v>
      </c>
      <c r="G795" s="560" t="s">
        <v>34</v>
      </c>
      <c r="H795" s="566">
        <v>2692.3076923076924</v>
      </c>
      <c r="I795" s="567" t="s">
        <v>499</v>
      </c>
      <c r="J795" s="568" t="s">
        <v>288</v>
      </c>
      <c r="L795" s="373">
        <v>1</v>
      </c>
    </row>
    <row r="796" spans="1:12">
      <c r="A796" s="565">
        <v>791</v>
      </c>
      <c r="B796" s="560" t="s">
        <v>278</v>
      </c>
      <c r="C796" s="560" t="s">
        <v>462</v>
      </c>
      <c r="D796" s="560" t="s">
        <v>291</v>
      </c>
      <c r="E796" s="560">
        <v>128</v>
      </c>
      <c r="F796" s="560">
        <v>3</v>
      </c>
      <c r="G796" s="560" t="s">
        <v>34</v>
      </c>
      <c r="H796" s="566">
        <v>1641.0256410256411</v>
      </c>
      <c r="I796" s="567" t="s">
        <v>499</v>
      </c>
      <c r="J796" s="568" t="s">
        <v>500</v>
      </c>
      <c r="L796" s="373">
        <v>1</v>
      </c>
    </row>
    <row r="797" spans="1:12">
      <c r="A797" s="565">
        <v>792</v>
      </c>
      <c r="B797" s="560" t="s">
        <v>278</v>
      </c>
      <c r="C797" s="560" t="s">
        <v>462</v>
      </c>
      <c r="D797" s="560" t="s">
        <v>291</v>
      </c>
      <c r="E797" s="560">
        <v>155</v>
      </c>
      <c r="F797" s="560">
        <v>4</v>
      </c>
      <c r="G797" s="560" t="s">
        <v>34</v>
      </c>
      <c r="H797" s="566">
        <v>1987.1794871794871</v>
      </c>
      <c r="I797" s="567" t="s">
        <v>499</v>
      </c>
      <c r="J797" s="568" t="s">
        <v>500</v>
      </c>
      <c r="L797" s="373">
        <v>1</v>
      </c>
    </row>
    <row r="798" spans="1:12" ht="21">
      <c r="A798" s="565">
        <v>793</v>
      </c>
      <c r="B798" s="560" t="s">
        <v>278</v>
      </c>
      <c r="C798" s="560" t="s">
        <v>462</v>
      </c>
      <c r="D798" s="560" t="s">
        <v>293</v>
      </c>
      <c r="E798" s="560">
        <v>168</v>
      </c>
      <c r="F798" s="560">
        <v>6</v>
      </c>
      <c r="G798" s="560" t="s">
        <v>34</v>
      </c>
      <c r="H798" s="566">
        <v>2153.8461538461538</v>
      </c>
      <c r="I798" s="567" t="s">
        <v>489</v>
      </c>
      <c r="J798" s="568" t="s">
        <v>288</v>
      </c>
      <c r="L798" s="373">
        <v>1</v>
      </c>
    </row>
    <row r="799" spans="1:12">
      <c r="A799" s="565">
        <v>794</v>
      </c>
      <c r="B799" s="560" t="s">
        <v>278</v>
      </c>
      <c r="C799" s="560" t="s">
        <v>462</v>
      </c>
      <c r="D799" s="560" t="s">
        <v>293</v>
      </c>
      <c r="E799" s="560">
        <v>172</v>
      </c>
      <c r="F799" s="560">
        <v>5</v>
      </c>
      <c r="G799" s="560" t="s">
        <v>34</v>
      </c>
      <c r="H799" s="566">
        <v>2205.1282051282051</v>
      </c>
      <c r="I799" s="567" t="s">
        <v>499</v>
      </c>
      <c r="J799" s="568" t="s">
        <v>288</v>
      </c>
      <c r="L799" s="373">
        <v>1</v>
      </c>
    </row>
    <row r="800" spans="1:12">
      <c r="A800" s="565">
        <v>795</v>
      </c>
      <c r="B800" s="560" t="s">
        <v>278</v>
      </c>
      <c r="C800" s="560" t="s">
        <v>462</v>
      </c>
      <c r="D800" s="560" t="s">
        <v>292</v>
      </c>
      <c r="E800" s="560">
        <v>110</v>
      </c>
      <c r="F800" s="560">
        <v>3</v>
      </c>
      <c r="G800" s="560" t="s">
        <v>34</v>
      </c>
      <c r="H800" s="566">
        <v>1410.2564102564102</v>
      </c>
      <c r="I800" s="567" t="s">
        <v>464</v>
      </c>
      <c r="J800" s="568" t="s">
        <v>288</v>
      </c>
      <c r="L800" s="373">
        <v>1</v>
      </c>
    </row>
    <row r="801" spans="1:12" ht="21">
      <c r="A801" s="565">
        <v>796</v>
      </c>
      <c r="B801" s="560" t="s">
        <v>278</v>
      </c>
      <c r="C801" s="560" t="s">
        <v>462</v>
      </c>
      <c r="D801" s="560" t="s">
        <v>293</v>
      </c>
      <c r="E801" s="560">
        <v>159</v>
      </c>
      <c r="F801" s="560">
        <v>5</v>
      </c>
      <c r="G801" s="560" t="s">
        <v>34</v>
      </c>
      <c r="H801" s="566">
        <v>2038.4615384615386</v>
      </c>
      <c r="I801" s="567" t="s">
        <v>489</v>
      </c>
      <c r="J801" s="568" t="s">
        <v>288</v>
      </c>
      <c r="L801" s="373">
        <v>1</v>
      </c>
    </row>
    <row r="802" spans="1:12" ht="21">
      <c r="A802" s="565">
        <v>797</v>
      </c>
      <c r="B802" s="560" t="s">
        <v>278</v>
      </c>
      <c r="C802" s="560" t="s">
        <v>462</v>
      </c>
      <c r="D802" s="560" t="s">
        <v>291</v>
      </c>
      <c r="E802" s="560">
        <v>124</v>
      </c>
      <c r="F802" s="560">
        <v>3</v>
      </c>
      <c r="G802" s="560" t="s">
        <v>34</v>
      </c>
      <c r="H802" s="566">
        <v>1589.7435897435898</v>
      </c>
      <c r="I802" s="567" t="s">
        <v>464</v>
      </c>
      <c r="J802" s="568" t="s">
        <v>498</v>
      </c>
      <c r="L802" s="373">
        <v>1</v>
      </c>
    </row>
    <row r="803" spans="1:12" ht="50.4" customHeight="1">
      <c r="A803" s="565">
        <v>798</v>
      </c>
      <c r="B803" s="560" t="s">
        <v>278</v>
      </c>
      <c r="C803" s="560" t="s">
        <v>462</v>
      </c>
      <c r="D803" s="560" t="s">
        <v>291</v>
      </c>
      <c r="E803" s="560">
        <v>149</v>
      </c>
      <c r="F803" s="560">
        <v>5</v>
      </c>
      <c r="G803" s="560" t="s">
        <v>34</v>
      </c>
      <c r="H803" s="566">
        <v>1910.2564102564102</v>
      </c>
      <c r="I803" s="567" t="s">
        <v>288</v>
      </c>
      <c r="J803" s="568" t="s">
        <v>496</v>
      </c>
      <c r="L803" s="373">
        <v>1</v>
      </c>
    </row>
    <row r="804" spans="1:12">
      <c r="A804" s="565">
        <v>799</v>
      </c>
      <c r="B804" s="560" t="s">
        <v>278</v>
      </c>
      <c r="C804" s="560" t="s">
        <v>462</v>
      </c>
      <c r="D804" s="560" t="s">
        <v>291</v>
      </c>
      <c r="E804" s="560">
        <v>119</v>
      </c>
      <c r="F804" s="560">
        <v>3</v>
      </c>
      <c r="G804" s="560" t="s">
        <v>286</v>
      </c>
      <c r="H804" s="566">
        <v>3.3380084151472653</v>
      </c>
      <c r="I804" s="567" t="s">
        <v>499</v>
      </c>
      <c r="J804" s="568" t="s">
        <v>288</v>
      </c>
      <c r="L804" s="373">
        <v>1</v>
      </c>
    </row>
    <row r="805" spans="1:12">
      <c r="A805" s="565">
        <v>800</v>
      </c>
      <c r="B805" s="560" t="s">
        <v>278</v>
      </c>
      <c r="C805" s="560" t="s">
        <v>462</v>
      </c>
      <c r="D805" s="560" t="s">
        <v>293</v>
      </c>
      <c r="E805" s="560">
        <v>110</v>
      </c>
      <c r="F805" s="560">
        <v>2</v>
      </c>
      <c r="G805" s="560" t="s">
        <v>34</v>
      </c>
      <c r="H805" s="566">
        <v>1410.2564102564102</v>
      </c>
      <c r="I805" s="567" t="s">
        <v>499</v>
      </c>
      <c r="J805" s="568" t="s">
        <v>500</v>
      </c>
      <c r="L805" s="373">
        <v>1</v>
      </c>
    </row>
    <row r="806" spans="1:12">
      <c r="A806" s="565">
        <v>801</v>
      </c>
      <c r="B806" s="560" t="s">
        <v>278</v>
      </c>
      <c r="C806" s="560" t="s">
        <v>462</v>
      </c>
      <c r="D806" s="560" t="s">
        <v>291</v>
      </c>
      <c r="E806" s="560">
        <v>139</v>
      </c>
      <c r="F806" s="560">
        <v>4</v>
      </c>
      <c r="G806" s="560" t="s">
        <v>287</v>
      </c>
      <c r="H806" s="566">
        <v>27800</v>
      </c>
      <c r="I806" s="567" t="s">
        <v>499</v>
      </c>
      <c r="J806" s="568" t="s">
        <v>288</v>
      </c>
      <c r="L806" s="373">
        <v>1</v>
      </c>
    </row>
    <row r="807" spans="1:12">
      <c r="A807" s="565">
        <v>802</v>
      </c>
      <c r="B807" s="560" t="s">
        <v>278</v>
      </c>
      <c r="C807" s="560" t="s">
        <v>462</v>
      </c>
      <c r="D807" s="560" t="s">
        <v>293</v>
      </c>
      <c r="E807" s="560">
        <v>162</v>
      </c>
      <c r="F807" s="560">
        <v>5</v>
      </c>
      <c r="G807" s="560" t="s">
        <v>34</v>
      </c>
      <c r="H807" s="566">
        <v>2076.9230769230771</v>
      </c>
      <c r="I807" s="567" t="s">
        <v>499</v>
      </c>
      <c r="J807" s="568" t="s">
        <v>288</v>
      </c>
      <c r="L807" s="373">
        <v>1</v>
      </c>
    </row>
    <row r="808" spans="1:12" ht="21">
      <c r="A808" s="565">
        <v>803</v>
      </c>
      <c r="B808" s="560" t="s">
        <v>278</v>
      </c>
      <c r="C808" s="560" t="s">
        <v>462</v>
      </c>
      <c r="D808" s="560" t="s">
        <v>291</v>
      </c>
      <c r="E808" s="560">
        <v>121</v>
      </c>
      <c r="F808" s="560">
        <v>2</v>
      </c>
      <c r="G808" s="560" t="s">
        <v>115</v>
      </c>
      <c r="H808" s="566">
        <v>0</v>
      </c>
      <c r="I808" s="567" t="s">
        <v>464</v>
      </c>
      <c r="J808" s="568" t="s">
        <v>498</v>
      </c>
      <c r="L808" s="373">
        <v>1</v>
      </c>
    </row>
    <row r="809" spans="1:12" ht="21">
      <c r="A809" s="565">
        <v>804</v>
      </c>
      <c r="B809" s="560" t="s">
        <v>278</v>
      </c>
      <c r="C809" s="560" t="s">
        <v>462</v>
      </c>
      <c r="D809" s="560" t="s">
        <v>291</v>
      </c>
      <c r="E809" s="560">
        <v>128</v>
      </c>
      <c r="F809" s="560">
        <v>3</v>
      </c>
      <c r="G809" s="560" t="s">
        <v>115</v>
      </c>
      <c r="H809" s="566">
        <v>0</v>
      </c>
      <c r="I809" s="567" t="s">
        <v>489</v>
      </c>
      <c r="J809" s="568" t="s">
        <v>288</v>
      </c>
      <c r="L809" s="373">
        <v>1</v>
      </c>
    </row>
    <row r="810" spans="1:12">
      <c r="A810" s="565">
        <v>805</v>
      </c>
      <c r="B810" s="560" t="s">
        <v>278</v>
      </c>
      <c r="C810" s="560" t="s">
        <v>462</v>
      </c>
      <c r="D810" s="560" t="s">
        <v>291</v>
      </c>
      <c r="E810" s="560">
        <v>178</v>
      </c>
      <c r="F810" s="560">
        <v>6</v>
      </c>
      <c r="G810" s="560" t="s">
        <v>115</v>
      </c>
      <c r="H810" s="566">
        <v>0</v>
      </c>
      <c r="I810" s="567" t="s">
        <v>499</v>
      </c>
      <c r="J810" s="568" t="s">
        <v>288</v>
      </c>
      <c r="L810" s="373">
        <v>1</v>
      </c>
    </row>
    <row r="811" spans="1:12" ht="21">
      <c r="A811" s="565">
        <v>806</v>
      </c>
      <c r="B811" s="560" t="s">
        <v>278</v>
      </c>
      <c r="C811" s="560" t="s">
        <v>462</v>
      </c>
      <c r="D811" s="560" t="s">
        <v>291</v>
      </c>
      <c r="E811" s="560">
        <v>132</v>
      </c>
      <c r="F811" s="560">
        <v>3</v>
      </c>
      <c r="G811" s="560" t="s">
        <v>115</v>
      </c>
      <c r="H811" s="566">
        <v>0</v>
      </c>
      <c r="I811" s="567" t="s">
        <v>464</v>
      </c>
      <c r="J811" s="568" t="s">
        <v>498</v>
      </c>
      <c r="L811" s="373">
        <v>1</v>
      </c>
    </row>
    <row r="812" spans="1:12">
      <c r="A812" s="565">
        <v>807</v>
      </c>
      <c r="B812" s="560" t="s">
        <v>278</v>
      </c>
      <c r="C812" s="560" t="s">
        <v>462</v>
      </c>
      <c r="D812" s="560" t="s">
        <v>291</v>
      </c>
      <c r="E812" s="560">
        <v>110</v>
      </c>
      <c r="F812" s="560">
        <v>4</v>
      </c>
      <c r="G812" s="560" t="s">
        <v>115</v>
      </c>
      <c r="H812" s="566">
        <v>0</v>
      </c>
      <c r="I812" s="567" t="s">
        <v>499</v>
      </c>
      <c r="J812" s="568" t="s">
        <v>288</v>
      </c>
      <c r="L812" s="373">
        <v>1</v>
      </c>
    </row>
    <row r="813" spans="1:12" ht="21">
      <c r="A813" s="565">
        <v>808</v>
      </c>
      <c r="B813" s="560" t="s">
        <v>278</v>
      </c>
      <c r="C813" s="560" t="s">
        <v>462</v>
      </c>
      <c r="D813" s="560" t="s">
        <v>291</v>
      </c>
      <c r="E813" s="560">
        <v>110</v>
      </c>
      <c r="F813" s="560">
        <v>3</v>
      </c>
      <c r="G813" s="560" t="s">
        <v>115</v>
      </c>
      <c r="H813" s="566">
        <v>0</v>
      </c>
      <c r="I813" s="567" t="s">
        <v>288</v>
      </c>
      <c r="J813" s="568" t="s">
        <v>496</v>
      </c>
      <c r="L813" s="373">
        <v>1</v>
      </c>
    </row>
    <row r="814" spans="1:12" ht="21">
      <c r="A814" s="565">
        <v>809</v>
      </c>
      <c r="B814" s="560" t="s">
        <v>278</v>
      </c>
      <c r="C814" s="560" t="s">
        <v>462</v>
      </c>
      <c r="D814" s="560" t="s">
        <v>291</v>
      </c>
      <c r="E814" s="560">
        <v>135</v>
      </c>
      <c r="F814" s="560">
        <v>3</v>
      </c>
      <c r="G814" s="560" t="s">
        <v>287</v>
      </c>
      <c r="H814" s="566">
        <v>27000</v>
      </c>
      <c r="I814" s="567" t="s">
        <v>489</v>
      </c>
      <c r="J814" s="568" t="s">
        <v>288</v>
      </c>
      <c r="L814" s="373">
        <v>1</v>
      </c>
    </row>
    <row r="815" spans="1:12">
      <c r="A815" s="565">
        <v>810</v>
      </c>
      <c r="B815" s="560" t="s">
        <v>278</v>
      </c>
      <c r="C815" s="560" t="s">
        <v>462</v>
      </c>
      <c r="D815" s="560" t="s">
        <v>291</v>
      </c>
      <c r="E815" s="560">
        <v>110</v>
      </c>
      <c r="F815" s="560">
        <v>4</v>
      </c>
      <c r="G815" s="560" t="s">
        <v>287</v>
      </c>
      <c r="H815" s="566">
        <v>22000</v>
      </c>
      <c r="I815" s="567" t="s">
        <v>499</v>
      </c>
      <c r="J815" s="568" t="s">
        <v>288</v>
      </c>
      <c r="L815" s="373">
        <v>1</v>
      </c>
    </row>
    <row r="816" spans="1:12" ht="21">
      <c r="A816" s="565">
        <v>811</v>
      </c>
      <c r="B816" s="560" t="s">
        <v>278</v>
      </c>
      <c r="C816" s="560" t="s">
        <v>462</v>
      </c>
      <c r="D816" s="560" t="s">
        <v>291</v>
      </c>
      <c r="E816" s="560">
        <v>110</v>
      </c>
      <c r="F816" s="560">
        <v>5</v>
      </c>
      <c r="G816" s="560" t="s">
        <v>287</v>
      </c>
      <c r="H816" s="566">
        <v>22000</v>
      </c>
      <c r="I816" s="567" t="s">
        <v>464</v>
      </c>
      <c r="J816" s="568" t="s">
        <v>498</v>
      </c>
      <c r="L816" s="373">
        <v>1</v>
      </c>
    </row>
    <row r="817" spans="1:12" ht="21">
      <c r="A817" s="565">
        <v>812</v>
      </c>
      <c r="B817" s="560" t="s">
        <v>278</v>
      </c>
      <c r="C817" s="560" t="s">
        <v>462</v>
      </c>
      <c r="D817" s="560" t="s">
        <v>292</v>
      </c>
      <c r="E817" s="560">
        <v>153</v>
      </c>
      <c r="F817" s="560">
        <v>5</v>
      </c>
      <c r="G817" s="560" t="s">
        <v>286</v>
      </c>
      <c r="H817" s="566">
        <v>4.2917251051893412</v>
      </c>
      <c r="I817" s="567" t="s">
        <v>464</v>
      </c>
      <c r="J817" s="568" t="s">
        <v>498</v>
      </c>
      <c r="L817" s="373">
        <v>1</v>
      </c>
    </row>
    <row r="818" spans="1:12">
      <c r="A818" s="565">
        <v>813</v>
      </c>
      <c r="B818" s="560" t="s">
        <v>278</v>
      </c>
      <c r="C818" s="560" t="s">
        <v>462</v>
      </c>
      <c r="D818" s="560" t="s">
        <v>291</v>
      </c>
      <c r="E818" s="560">
        <v>141</v>
      </c>
      <c r="F818" s="560">
        <v>4</v>
      </c>
      <c r="G818" s="560" t="s">
        <v>286</v>
      </c>
      <c r="H818" s="566">
        <v>3.9551192145862553</v>
      </c>
      <c r="I818" s="567" t="s">
        <v>499</v>
      </c>
      <c r="J818" s="568" t="s">
        <v>288</v>
      </c>
      <c r="L818" s="373">
        <v>1</v>
      </c>
    </row>
    <row r="819" spans="1:12">
      <c r="A819" s="565">
        <v>814</v>
      </c>
      <c r="B819" s="560" t="s">
        <v>278</v>
      </c>
      <c r="C819" s="560" t="s">
        <v>462</v>
      </c>
      <c r="D819" s="560" t="s">
        <v>291</v>
      </c>
      <c r="E819" s="560">
        <v>127</v>
      </c>
      <c r="F819" s="560">
        <v>4</v>
      </c>
      <c r="G819" s="560" t="s">
        <v>34</v>
      </c>
      <c r="H819" s="566">
        <v>1628.2051282051282</v>
      </c>
      <c r="I819" s="567" t="s">
        <v>499</v>
      </c>
      <c r="J819" s="568" t="s">
        <v>288</v>
      </c>
      <c r="L819" s="373">
        <v>1</v>
      </c>
    </row>
    <row r="820" spans="1:12">
      <c r="A820" s="565">
        <v>815</v>
      </c>
      <c r="B820" s="560" t="s">
        <v>278</v>
      </c>
      <c r="C820" s="560" t="s">
        <v>462</v>
      </c>
      <c r="D820" s="560" t="s">
        <v>291</v>
      </c>
      <c r="E820" s="560">
        <v>168</v>
      </c>
      <c r="F820" s="560">
        <v>3</v>
      </c>
      <c r="G820" s="560" t="s">
        <v>34</v>
      </c>
      <c r="H820" s="566">
        <v>2153.8461538461538</v>
      </c>
      <c r="I820" s="567" t="s">
        <v>499</v>
      </c>
      <c r="J820" s="568" t="s">
        <v>288</v>
      </c>
      <c r="L820" s="373">
        <v>1</v>
      </c>
    </row>
    <row r="821" spans="1:12" ht="21">
      <c r="A821" s="565">
        <v>816</v>
      </c>
      <c r="B821" s="560" t="s">
        <v>278</v>
      </c>
      <c r="C821" s="560" t="s">
        <v>462</v>
      </c>
      <c r="D821" s="560" t="s">
        <v>293</v>
      </c>
      <c r="E821" s="560">
        <v>210</v>
      </c>
      <c r="F821" s="560">
        <v>5</v>
      </c>
      <c r="G821" s="560" t="s">
        <v>34</v>
      </c>
      <c r="H821" s="566">
        <v>2692.3076923076924</v>
      </c>
      <c r="I821" s="567" t="s">
        <v>489</v>
      </c>
      <c r="J821" s="568" t="s">
        <v>288</v>
      </c>
      <c r="L821" s="373">
        <v>1</v>
      </c>
    </row>
    <row r="822" spans="1:12">
      <c r="A822" s="565">
        <v>817</v>
      </c>
      <c r="B822" s="560" t="s">
        <v>278</v>
      </c>
      <c r="C822" s="560" t="s">
        <v>462</v>
      </c>
      <c r="D822" s="560" t="s">
        <v>291</v>
      </c>
      <c r="E822" s="560">
        <v>185</v>
      </c>
      <c r="F822" s="560">
        <v>6</v>
      </c>
      <c r="G822" s="560" t="s">
        <v>34</v>
      </c>
      <c r="H822" s="566">
        <v>2371.7948717948716</v>
      </c>
      <c r="I822" s="567" t="s">
        <v>499</v>
      </c>
      <c r="J822" s="568" t="s">
        <v>288</v>
      </c>
      <c r="L822" s="373">
        <v>1</v>
      </c>
    </row>
    <row r="823" spans="1:12" ht="21">
      <c r="A823" s="565">
        <v>818</v>
      </c>
      <c r="B823" s="560" t="s">
        <v>278</v>
      </c>
      <c r="C823" s="560" t="s">
        <v>462</v>
      </c>
      <c r="D823" s="560" t="s">
        <v>291</v>
      </c>
      <c r="E823" s="560">
        <v>143</v>
      </c>
      <c r="F823" s="560">
        <v>3</v>
      </c>
      <c r="G823" s="560" t="s">
        <v>286</v>
      </c>
      <c r="H823" s="566">
        <v>4.0112201963534364</v>
      </c>
      <c r="I823" s="567" t="s">
        <v>464</v>
      </c>
      <c r="J823" s="568" t="s">
        <v>498</v>
      </c>
      <c r="L823" s="373">
        <v>1</v>
      </c>
    </row>
    <row r="824" spans="1:12">
      <c r="A824" s="565">
        <v>819</v>
      </c>
      <c r="B824" s="560" t="s">
        <v>278</v>
      </c>
      <c r="C824" s="560" t="s">
        <v>462</v>
      </c>
      <c r="D824" s="560" t="s">
        <v>291</v>
      </c>
      <c r="E824" s="560">
        <v>193</v>
      </c>
      <c r="F824" s="560">
        <v>5</v>
      </c>
      <c r="G824" s="560" t="s">
        <v>286</v>
      </c>
      <c r="H824" s="566">
        <v>5.4137447405329597</v>
      </c>
      <c r="I824" s="567" t="s">
        <v>499</v>
      </c>
      <c r="J824" s="568" t="s">
        <v>288</v>
      </c>
      <c r="L824" s="373">
        <v>1</v>
      </c>
    </row>
    <row r="825" spans="1:12">
      <c r="A825" s="565">
        <v>820</v>
      </c>
      <c r="B825" s="560" t="s">
        <v>278</v>
      </c>
      <c r="C825" s="560" t="s">
        <v>462</v>
      </c>
      <c r="D825" s="560" t="s">
        <v>291</v>
      </c>
      <c r="E825" s="560">
        <v>130</v>
      </c>
      <c r="F825" s="560">
        <v>4</v>
      </c>
      <c r="G825" s="560" t="s">
        <v>286</v>
      </c>
      <c r="H825" s="566">
        <v>3.6465638148667603</v>
      </c>
      <c r="I825" s="567" t="s">
        <v>464</v>
      </c>
      <c r="J825" s="568" t="s">
        <v>288</v>
      </c>
      <c r="L825" s="373">
        <v>1</v>
      </c>
    </row>
    <row r="826" spans="1:12" ht="21">
      <c r="A826" s="565">
        <v>821</v>
      </c>
      <c r="B826" s="560" t="s">
        <v>278</v>
      </c>
      <c r="C826" s="560" t="s">
        <v>462</v>
      </c>
      <c r="D826" s="560" t="s">
        <v>291</v>
      </c>
      <c r="E826" s="560">
        <v>210</v>
      </c>
      <c r="F826" s="560">
        <v>7</v>
      </c>
      <c r="G826" s="560" t="s">
        <v>286</v>
      </c>
      <c r="H826" s="566">
        <v>5.8906030855539973</v>
      </c>
      <c r="I826" s="567" t="s">
        <v>464</v>
      </c>
      <c r="J826" s="568" t="s">
        <v>498</v>
      </c>
      <c r="L826" s="373">
        <v>1</v>
      </c>
    </row>
    <row r="827" spans="1:12">
      <c r="A827" s="565">
        <v>822</v>
      </c>
      <c r="B827" s="560" t="s">
        <v>278</v>
      </c>
      <c r="C827" s="560" t="s">
        <v>462</v>
      </c>
      <c r="D827" s="560" t="s">
        <v>291</v>
      </c>
      <c r="E827" s="560">
        <v>128</v>
      </c>
      <c r="F827" s="560">
        <v>3</v>
      </c>
      <c r="G827" s="560" t="s">
        <v>286</v>
      </c>
      <c r="H827" s="566">
        <v>3.5904628330995796</v>
      </c>
      <c r="I827" s="567" t="s">
        <v>499</v>
      </c>
      <c r="J827" s="568" t="s">
        <v>288</v>
      </c>
      <c r="L827" s="373">
        <v>1</v>
      </c>
    </row>
    <row r="828" spans="1:12">
      <c r="A828" s="565">
        <v>823</v>
      </c>
      <c r="B828" s="560" t="s">
        <v>278</v>
      </c>
      <c r="C828" s="560" t="s">
        <v>462</v>
      </c>
      <c r="D828" s="560" t="s">
        <v>291</v>
      </c>
      <c r="E828" s="560">
        <v>183</v>
      </c>
      <c r="F828" s="560">
        <v>6</v>
      </c>
      <c r="G828" s="560" t="s">
        <v>34</v>
      </c>
      <c r="H828" s="566">
        <v>2346.1538461538462</v>
      </c>
      <c r="I828" s="567" t="s">
        <v>499</v>
      </c>
      <c r="J828" s="568" t="s">
        <v>288</v>
      </c>
      <c r="L828" s="373">
        <v>1</v>
      </c>
    </row>
    <row r="829" spans="1:12">
      <c r="A829" s="565">
        <v>824</v>
      </c>
      <c r="B829" s="560" t="s">
        <v>278</v>
      </c>
      <c r="C829" s="560" t="s">
        <v>462</v>
      </c>
      <c r="D829" s="560" t="s">
        <v>291</v>
      </c>
      <c r="E829" s="560">
        <v>152</v>
      </c>
      <c r="F829" s="560">
        <v>4</v>
      </c>
      <c r="G829" s="560" t="s">
        <v>34</v>
      </c>
      <c r="H829" s="566">
        <v>1948.7179487179487</v>
      </c>
      <c r="I829" s="567" t="s">
        <v>499</v>
      </c>
      <c r="J829" s="568" t="s">
        <v>288</v>
      </c>
      <c r="L829" s="373">
        <v>1</v>
      </c>
    </row>
    <row r="830" spans="1:12">
      <c r="A830" s="565">
        <v>825</v>
      </c>
      <c r="B830" s="560" t="s">
        <v>278</v>
      </c>
      <c r="C830" s="560" t="s">
        <v>462</v>
      </c>
      <c r="D830" s="560" t="s">
        <v>291</v>
      </c>
      <c r="E830" s="560">
        <v>152</v>
      </c>
      <c r="F830" s="560">
        <v>6</v>
      </c>
      <c r="G830" s="560" t="s">
        <v>34</v>
      </c>
      <c r="H830" s="566">
        <v>1948.7179487179487</v>
      </c>
      <c r="I830" s="567" t="s">
        <v>499</v>
      </c>
      <c r="J830" s="568" t="s">
        <v>288</v>
      </c>
      <c r="L830" s="373">
        <v>1</v>
      </c>
    </row>
    <row r="831" spans="1:12">
      <c r="A831" s="565">
        <v>826</v>
      </c>
      <c r="B831" s="560" t="s">
        <v>278</v>
      </c>
      <c r="C831" s="560" t="s">
        <v>462</v>
      </c>
      <c r="D831" s="560" t="s">
        <v>291</v>
      </c>
      <c r="E831" s="560">
        <v>131</v>
      </c>
      <c r="F831" s="560">
        <v>4</v>
      </c>
      <c r="G831" s="560" t="s">
        <v>34</v>
      </c>
      <c r="H831" s="566">
        <v>1679.4871794871794</v>
      </c>
      <c r="I831" s="567" t="s">
        <v>499</v>
      </c>
      <c r="J831" s="568" t="s">
        <v>500</v>
      </c>
      <c r="L831" s="373">
        <v>1</v>
      </c>
    </row>
    <row r="832" spans="1:12">
      <c r="A832" s="565">
        <v>827</v>
      </c>
      <c r="B832" s="560" t="s">
        <v>278</v>
      </c>
      <c r="C832" s="560" t="s">
        <v>462</v>
      </c>
      <c r="D832" s="560" t="s">
        <v>292</v>
      </c>
      <c r="E832" s="560">
        <v>118</v>
      </c>
      <c r="F832" s="560">
        <v>2</v>
      </c>
      <c r="G832" s="560" t="s">
        <v>34</v>
      </c>
      <c r="H832" s="566">
        <v>1512.8205128205129</v>
      </c>
      <c r="I832" s="567" t="s">
        <v>464</v>
      </c>
      <c r="J832" s="568" t="s">
        <v>288</v>
      </c>
      <c r="L832" s="373">
        <v>1</v>
      </c>
    </row>
    <row r="833" spans="1:12" ht="21">
      <c r="A833" s="565">
        <v>828</v>
      </c>
      <c r="B833" s="560" t="s">
        <v>278</v>
      </c>
      <c r="C833" s="560" t="s">
        <v>462</v>
      </c>
      <c r="D833" s="560" t="s">
        <v>291</v>
      </c>
      <c r="E833" s="560">
        <v>128</v>
      </c>
      <c r="F833" s="560">
        <v>5</v>
      </c>
      <c r="G833" s="560" t="s">
        <v>34</v>
      </c>
      <c r="H833" s="566">
        <v>1641.0256410256411</v>
      </c>
      <c r="I833" s="567" t="s">
        <v>464</v>
      </c>
      <c r="J833" s="568" t="s">
        <v>498</v>
      </c>
      <c r="L833" s="373">
        <v>1</v>
      </c>
    </row>
    <row r="834" spans="1:12">
      <c r="A834" s="565">
        <v>829</v>
      </c>
      <c r="B834" s="560" t="s">
        <v>278</v>
      </c>
      <c r="C834" s="560" t="s">
        <v>462</v>
      </c>
      <c r="D834" s="560" t="s">
        <v>291</v>
      </c>
      <c r="E834" s="560">
        <v>146</v>
      </c>
      <c r="F834" s="560">
        <v>3</v>
      </c>
      <c r="G834" s="560" t="s">
        <v>34</v>
      </c>
      <c r="H834" s="566">
        <v>1871.7948717948718</v>
      </c>
      <c r="I834" s="567" t="s">
        <v>499</v>
      </c>
      <c r="J834" s="568" t="s">
        <v>288</v>
      </c>
      <c r="L834" s="373">
        <v>1</v>
      </c>
    </row>
    <row r="835" spans="1:12" ht="21">
      <c r="A835" s="565">
        <v>830</v>
      </c>
      <c r="B835" s="560" t="s">
        <v>278</v>
      </c>
      <c r="C835" s="560" t="s">
        <v>462</v>
      </c>
      <c r="D835" s="560" t="s">
        <v>291</v>
      </c>
      <c r="E835" s="560">
        <v>127</v>
      </c>
      <c r="F835" s="560">
        <v>4</v>
      </c>
      <c r="G835" s="560" t="s">
        <v>34</v>
      </c>
      <c r="H835" s="566">
        <v>1628.2051282051282</v>
      </c>
      <c r="I835" s="567" t="s">
        <v>464</v>
      </c>
      <c r="J835" s="568" t="s">
        <v>498</v>
      </c>
      <c r="L835" s="373">
        <v>1</v>
      </c>
    </row>
    <row r="836" spans="1:12" ht="21">
      <c r="A836" s="565">
        <v>831</v>
      </c>
      <c r="B836" s="560" t="s">
        <v>278</v>
      </c>
      <c r="C836" s="560" t="s">
        <v>462</v>
      </c>
      <c r="D836" s="560" t="s">
        <v>294</v>
      </c>
      <c r="E836" s="560">
        <v>135</v>
      </c>
      <c r="F836" s="560">
        <v>4</v>
      </c>
      <c r="G836" s="560" t="s">
        <v>34</v>
      </c>
      <c r="H836" s="566">
        <v>1730.7692307692307</v>
      </c>
      <c r="I836" s="567" t="s">
        <v>489</v>
      </c>
      <c r="J836" s="568" t="s">
        <v>288</v>
      </c>
      <c r="L836" s="373">
        <v>1</v>
      </c>
    </row>
    <row r="837" spans="1:12" ht="21">
      <c r="A837" s="565">
        <v>832</v>
      </c>
      <c r="B837" s="560" t="s">
        <v>278</v>
      </c>
      <c r="C837" s="560" t="s">
        <v>462</v>
      </c>
      <c r="D837" s="560" t="s">
        <v>294</v>
      </c>
      <c r="E837" s="560">
        <v>112</v>
      </c>
      <c r="F837" s="560">
        <v>3</v>
      </c>
      <c r="G837" s="560" t="s">
        <v>34</v>
      </c>
      <c r="H837" s="566">
        <v>1435.8974358974358</v>
      </c>
      <c r="I837" s="567" t="s">
        <v>489</v>
      </c>
      <c r="J837" s="568" t="s">
        <v>288</v>
      </c>
      <c r="L837" s="373">
        <v>1</v>
      </c>
    </row>
    <row r="838" spans="1:12" ht="21">
      <c r="A838" s="565">
        <v>833</v>
      </c>
      <c r="B838" s="560" t="s">
        <v>278</v>
      </c>
      <c r="C838" s="560" t="s">
        <v>462</v>
      </c>
      <c r="D838" s="560" t="s">
        <v>293</v>
      </c>
      <c r="E838" s="560">
        <v>121</v>
      </c>
      <c r="F838" s="560">
        <v>2</v>
      </c>
      <c r="G838" s="560" t="s">
        <v>34</v>
      </c>
      <c r="H838" s="566">
        <v>1551.2820512820513</v>
      </c>
      <c r="I838" s="567" t="s">
        <v>489</v>
      </c>
      <c r="J838" s="568" t="s">
        <v>288</v>
      </c>
      <c r="L838" s="373">
        <v>1</v>
      </c>
    </row>
    <row r="839" spans="1:12" ht="21">
      <c r="A839" s="565">
        <v>834</v>
      </c>
      <c r="B839" s="560" t="s">
        <v>278</v>
      </c>
      <c r="C839" s="560" t="s">
        <v>462</v>
      </c>
      <c r="D839" s="560" t="s">
        <v>293</v>
      </c>
      <c r="E839" s="560">
        <v>151</v>
      </c>
      <c r="F839" s="560">
        <v>6</v>
      </c>
      <c r="G839" s="560" t="s">
        <v>34</v>
      </c>
      <c r="H839" s="566">
        <v>1935.8974358974358</v>
      </c>
      <c r="I839" s="567" t="s">
        <v>489</v>
      </c>
      <c r="J839" s="568" t="s">
        <v>288</v>
      </c>
      <c r="L839" s="373">
        <v>1</v>
      </c>
    </row>
    <row r="840" spans="1:12" ht="21">
      <c r="A840" s="565">
        <v>835</v>
      </c>
      <c r="B840" s="560" t="s">
        <v>278</v>
      </c>
      <c r="C840" s="560" t="s">
        <v>462</v>
      </c>
      <c r="D840" s="560" t="s">
        <v>294</v>
      </c>
      <c r="E840" s="560">
        <v>131</v>
      </c>
      <c r="F840" s="560">
        <v>4</v>
      </c>
      <c r="G840" s="560" t="s">
        <v>34</v>
      </c>
      <c r="H840" s="566">
        <v>1679.4871794871794</v>
      </c>
      <c r="I840" s="567" t="s">
        <v>489</v>
      </c>
      <c r="J840" s="568" t="s">
        <v>288</v>
      </c>
      <c r="L840" s="373">
        <v>1</v>
      </c>
    </row>
    <row r="841" spans="1:12" ht="21">
      <c r="A841" s="565">
        <v>836</v>
      </c>
      <c r="B841" s="560" t="s">
        <v>278</v>
      </c>
      <c r="C841" s="560" t="s">
        <v>462</v>
      </c>
      <c r="D841" s="560" t="s">
        <v>293</v>
      </c>
      <c r="E841" s="560">
        <v>128</v>
      </c>
      <c r="F841" s="560">
        <v>2</v>
      </c>
      <c r="G841" s="560" t="s">
        <v>34</v>
      </c>
      <c r="H841" s="566">
        <v>1641.0256410256411</v>
      </c>
      <c r="I841" s="567" t="s">
        <v>464</v>
      </c>
      <c r="J841" s="568" t="s">
        <v>498</v>
      </c>
      <c r="L841" s="373">
        <v>1</v>
      </c>
    </row>
    <row r="842" spans="1:12">
      <c r="A842" s="565">
        <v>837</v>
      </c>
      <c r="B842" s="560" t="s">
        <v>278</v>
      </c>
      <c r="C842" s="560" t="s">
        <v>462</v>
      </c>
      <c r="D842" s="560" t="s">
        <v>293</v>
      </c>
      <c r="E842" s="560">
        <v>175</v>
      </c>
      <c r="F842" s="560">
        <v>5</v>
      </c>
      <c r="G842" s="560" t="s">
        <v>34</v>
      </c>
      <c r="H842" s="566">
        <v>2243.5897435897436</v>
      </c>
      <c r="I842" s="567" t="s">
        <v>499</v>
      </c>
      <c r="J842" s="568" t="s">
        <v>500</v>
      </c>
      <c r="L842" s="373">
        <v>1</v>
      </c>
    </row>
    <row r="843" spans="1:12" ht="21">
      <c r="A843" s="565">
        <v>838</v>
      </c>
      <c r="B843" s="560" t="s">
        <v>278</v>
      </c>
      <c r="C843" s="560" t="s">
        <v>462</v>
      </c>
      <c r="D843" s="560" t="s">
        <v>293</v>
      </c>
      <c r="E843" s="560">
        <v>153</v>
      </c>
      <c r="F843" s="560">
        <v>4</v>
      </c>
      <c r="G843" s="560" t="s">
        <v>34</v>
      </c>
      <c r="H843" s="566">
        <v>1961.5384615384614</v>
      </c>
      <c r="I843" s="567" t="s">
        <v>464</v>
      </c>
      <c r="J843" s="568" t="s">
        <v>498</v>
      </c>
      <c r="L843" s="373">
        <v>1</v>
      </c>
    </row>
    <row r="844" spans="1:12">
      <c r="A844" s="565">
        <v>839</v>
      </c>
      <c r="B844" s="560" t="s">
        <v>278</v>
      </c>
      <c r="C844" s="560" t="s">
        <v>462</v>
      </c>
      <c r="D844" s="560" t="s">
        <v>291</v>
      </c>
      <c r="E844" s="560">
        <v>137</v>
      </c>
      <c r="F844" s="560">
        <v>3</v>
      </c>
      <c r="G844" s="560" t="s">
        <v>34</v>
      </c>
      <c r="H844" s="566">
        <v>1756.4102564102564</v>
      </c>
      <c r="I844" s="567" t="s">
        <v>499</v>
      </c>
      <c r="J844" s="568" t="s">
        <v>500</v>
      </c>
      <c r="L844" s="373">
        <v>1</v>
      </c>
    </row>
    <row r="845" spans="1:12">
      <c r="A845" s="565">
        <v>840</v>
      </c>
      <c r="B845" s="560" t="s">
        <v>278</v>
      </c>
      <c r="C845" s="560" t="s">
        <v>462</v>
      </c>
      <c r="D845" s="560" t="s">
        <v>293</v>
      </c>
      <c r="E845" s="560">
        <v>145</v>
      </c>
      <c r="F845" s="560">
        <v>2</v>
      </c>
      <c r="G845" s="560" t="s">
        <v>34</v>
      </c>
      <c r="H845" s="566">
        <v>1858.9743589743589</v>
      </c>
      <c r="I845" s="567" t="s">
        <v>499</v>
      </c>
      <c r="J845" s="568" t="s">
        <v>500</v>
      </c>
      <c r="L845" s="373">
        <v>1</v>
      </c>
    </row>
    <row r="846" spans="1:12">
      <c r="A846" s="565">
        <v>841</v>
      </c>
      <c r="B846" s="560" t="s">
        <v>278</v>
      </c>
      <c r="C846" s="560" t="s">
        <v>462</v>
      </c>
      <c r="D846" s="560" t="s">
        <v>293</v>
      </c>
      <c r="E846" s="560">
        <v>150</v>
      </c>
      <c r="F846" s="560">
        <v>4</v>
      </c>
      <c r="G846" s="560" t="s">
        <v>34</v>
      </c>
      <c r="H846" s="566">
        <v>1923.0769230769231</v>
      </c>
      <c r="I846" s="567" t="s">
        <v>499</v>
      </c>
      <c r="J846" s="568" t="s">
        <v>288</v>
      </c>
      <c r="L846" s="373">
        <v>1</v>
      </c>
    </row>
    <row r="847" spans="1:12">
      <c r="A847" s="565">
        <v>842</v>
      </c>
      <c r="B847" s="560" t="s">
        <v>278</v>
      </c>
      <c r="C847" s="560" t="s">
        <v>462</v>
      </c>
      <c r="D847" s="560" t="s">
        <v>291</v>
      </c>
      <c r="E847" s="560">
        <v>130</v>
      </c>
      <c r="F847" s="560">
        <v>3</v>
      </c>
      <c r="G847" s="560" t="s">
        <v>34</v>
      </c>
      <c r="H847" s="566">
        <v>1666.6666666666667</v>
      </c>
      <c r="I847" s="567" t="s">
        <v>499</v>
      </c>
      <c r="J847" s="568" t="s">
        <v>500</v>
      </c>
      <c r="L847" s="373">
        <v>1</v>
      </c>
    </row>
    <row r="848" spans="1:12" ht="21">
      <c r="A848" s="565">
        <v>843</v>
      </c>
      <c r="B848" s="560" t="s">
        <v>278</v>
      </c>
      <c r="C848" s="560" t="s">
        <v>462</v>
      </c>
      <c r="D848" s="560" t="s">
        <v>293</v>
      </c>
      <c r="E848" s="560">
        <v>150</v>
      </c>
      <c r="F848" s="560">
        <v>3</v>
      </c>
      <c r="G848" s="560" t="s">
        <v>34</v>
      </c>
      <c r="H848" s="566">
        <v>1923.0769230769231</v>
      </c>
      <c r="I848" s="567" t="s">
        <v>489</v>
      </c>
      <c r="J848" s="568" t="s">
        <v>288</v>
      </c>
      <c r="L848" s="373">
        <v>1</v>
      </c>
    </row>
    <row r="849" spans="1:12">
      <c r="A849" s="565">
        <v>844</v>
      </c>
      <c r="B849" s="560" t="s">
        <v>278</v>
      </c>
      <c r="C849" s="560" t="s">
        <v>462</v>
      </c>
      <c r="D849" s="560" t="s">
        <v>293</v>
      </c>
      <c r="E849" s="560">
        <v>170</v>
      </c>
      <c r="F849" s="560">
        <v>5</v>
      </c>
      <c r="G849" s="560" t="s">
        <v>34</v>
      </c>
      <c r="H849" s="566">
        <v>2179.4871794871797</v>
      </c>
      <c r="I849" s="567" t="s">
        <v>499</v>
      </c>
      <c r="J849" s="568" t="s">
        <v>500</v>
      </c>
      <c r="L849" s="373">
        <v>1</v>
      </c>
    </row>
    <row r="850" spans="1:12">
      <c r="A850" s="565">
        <v>845</v>
      </c>
      <c r="B850" s="560" t="s">
        <v>278</v>
      </c>
      <c r="C850" s="560" t="s">
        <v>462</v>
      </c>
      <c r="D850" s="560" t="s">
        <v>293</v>
      </c>
      <c r="E850" s="560">
        <v>211</v>
      </c>
      <c r="F850" s="560">
        <v>4</v>
      </c>
      <c r="G850" s="560" t="s">
        <v>34</v>
      </c>
      <c r="H850" s="566">
        <v>2705.1282051282051</v>
      </c>
      <c r="I850" s="567" t="s">
        <v>499</v>
      </c>
      <c r="J850" s="568" t="s">
        <v>500</v>
      </c>
      <c r="L850" s="373">
        <v>1</v>
      </c>
    </row>
    <row r="851" spans="1:12" ht="21">
      <c r="A851" s="565">
        <v>846</v>
      </c>
      <c r="B851" s="560" t="s">
        <v>278</v>
      </c>
      <c r="C851" s="560" t="s">
        <v>462</v>
      </c>
      <c r="D851" s="560" t="s">
        <v>294</v>
      </c>
      <c r="E851" s="560">
        <v>183</v>
      </c>
      <c r="F851" s="560">
        <v>5</v>
      </c>
      <c r="G851" s="560" t="s">
        <v>34</v>
      </c>
      <c r="H851" s="566">
        <v>2346.1538461538462</v>
      </c>
      <c r="I851" s="567" t="s">
        <v>489</v>
      </c>
      <c r="J851" s="568" t="s">
        <v>501</v>
      </c>
      <c r="L851" s="373">
        <v>1</v>
      </c>
    </row>
    <row r="852" spans="1:12" ht="21">
      <c r="A852" s="565">
        <v>847</v>
      </c>
      <c r="B852" s="560" t="s">
        <v>278</v>
      </c>
      <c r="C852" s="560" t="s">
        <v>462</v>
      </c>
      <c r="D852" s="560" t="s">
        <v>294</v>
      </c>
      <c r="E852" s="560">
        <v>142</v>
      </c>
      <c r="F852" s="560">
        <v>4</v>
      </c>
      <c r="G852" s="560" t="s">
        <v>34</v>
      </c>
      <c r="H852" s="566">
        <v>1820.5128205128206</v>
      </c>
      <c r="I852" s="567" t="s">
        <v>489</v>
      </c>
      <c r="J852" s="568" t="s">
        <v>501</v>
      </c>
      <c r="L852" s="373">
        <v>1</v>
      </c>
    </row>
    <row r="853" spans="1:12" ht="21">
      <c r="A853" s="565">
        <v>848</v>
      </c>
      <c r="B853" s="560" t="s">
        <v>278</v>
      </c>
      <c r="C853" s="560" t="s">
        <v>462</v>
      </c>
      <c r="D853" s="560" t="s">
        <v>294</v>
      </c>
      <c r="E853" s="560">
        <v>113</v>
      </c>
      <c r="F853" s="560">
        <v>2</v>
      </c>
      <c r="G853" s="560" t="s">
        <v>34</v>
      </c>
      <c r="H853" s="566">
        <v>1448.7179487179487</v>
      </c>
      <c r="I853" s="567" t="s">
        <v>489</v>
      </c>
      <c r="J853" s="568" t="s">
        <v>288</v>
      </c>
      <c r="L853" s="373">
        <v>1</v>
      </c>
    </row>
    <row r="854" spans="1:12" ht="21">
      <c r="A854" s="565">
        <v>849</v>
      </c>
      <c r="B854" s="560" t="s">
        <v>278</v>
      </c>
      <c r="C854" s="560" t="s">
        <v>462</v>
      </c>
      <c r="D854" s="560" t="s">
        <v>294</v>
      </c>
      <c r="E854" s="560">
        <v>120</v>
      </c>
      <c r="F854" s="560">
        <v>3</v>
      </c>
      <c r="G854" s="560" t="s">
        <v>34</v>
      </c>
      <c r="H854" s="566">
        <v>1538.4615384615386</v>
      </c>
      <c r="I854" s="567" t="s">
        <v>489</v>
      </c>
      <c r="J854" s="568" t="s">
        <v>288</v>
      </c>
      <c r="L854" s="373">
        <v>1</v>
      </c>
    </row>
    <row r="855" spans="1:12" ht="21">
      <c r="A855" s="565">
        <v>850</v>
      </c>
      <c r="B855" s="560" t="s">
        <v>278</v>
      </c>
      <c r="C855" s="560" t="s">
        <v>462</v>
      </c>
      <c r="D855" s="560" t="s">
        <v>294</v>
      </c>
      <c r="E855" s="560">
        <v>150</v>
      </c>
      <c r="F855" s="560">
        <v>4</v>
      </c>
      <c r="G855" s="560" t="s">
        <v>34</v>
      </c>
      <c r="H855" s="566">
        <v>1923.0769230769231</v>
      </c>
      <c r="I855" s="567" t="s">
        <v>489</v>
      </c>
      <c r="J855" s="568" t="s">
        <v>502</v>
      </c>
      <c r="L855" s="373">
        <v>1</v>
      </c>
    </row>
    <row r="856" spans="1:12" ht="21">
      <c r="A856" s="565">
        <v>851</v>
      </c>
      <c r="B856" s="560" t="s">
        <v>278</v>
      </c>
      <c r="C856" s="560" t="s">
        <v>462</v>
      </c>
      <c r="D856" s="560" t="s">
        <v>294</v>
      </c>
      <c r="E856" s="560">
        <v>147</v>
      </c>
      <c r="F856" s="560">
        <v>5</v>
      </c>
      <c r="G856" s="560" t="s">
        <v>34</v>
      </c>
      <c r="H856" s="566">
        <v>1884.6153846153845</v>
      </c>
      <c r="I856" s="567" t="s">
        <v>489</v>
      </c>
      <c r="J856" s="568" t="s">
        <v>288</v>
      </c>
      <c r="L856" s="373">
        <v>1</v>
      </c>
    </row>
    <row r="857" spans="1:12" ht="21">
      <c r="A857" s="565">
        <v>852</v>
      </c>
      <c r="B857" s="560" t="s">
        <v>278</v>
      </c>
      <c r="C857" s="560" t="s">
        <v>462</v>
      </c>
      <c r="D857" s="560" t="s">
        <v>294</v>
      </c>
      <c r="E857" s="560">
        <v>130</v>
      </c>
      <c r="F857" s="560">
        <v>3</v>
      </c>
      <c r="G857" s="560" t="s">
        <v>34</v>
      </c>
      <c r="H857" s="566">
        <v>1666.6666666666667</v>
      </c>
      <c r="I857" s="567" t="s">
        <v>489</v>
      </c>
      <c r="J857" s="568" t="s">
        <v>288</v>
      </c>
      <c r="L857" s="373">
        <v>1</v>
      </c>
    </row>
    <row r="858" spans="1:12" ht="21">
      <c r="A858" s="565">
        <v>853</v>
      </c>
      <c r="B858" s="560" t="s">
        <v>278</v>
      </c>
      <c r="C858" s="560" t="s">
        <v>462</v>
      </c>
      <c r="D858" s="560" t="s">
        <v>294</v>
      </c>
      <c r="E858" s="560">
        <v>140</v>
      </c>
      <c r="F858" s="560">
        <v>4</v>
      </c>
      <c r="G858" s="560" t="s">
        <v>34</v>
      </c>
      <c r="H858" s="566">
        <v>1794.8717948717949</v>
      </c>
      <c r="I858" s="567" t="s">
        <v>489</v>
      </c>
      <c r="J858" s="568" t="s">
        <v>288</v>
      </c>
      <c r="L858" s="373">
        <v>1</v>
      </c>
    </row>
    <row r="859" spans="1:12" ht="21">
      <c r="A859" s="565">
        <v>854</v>
      </c>
      <c r="B859" s="560" t="s">
        <v>278</v>
      </c>
      <c r="C859" s="560" t="s">
        <v>462</v>
      </c>
      <c r="D859" s="560" t="s">
        <v>294</v>
      </c>
      <c r="E859" s="560">
        <v>110</v>
      </c>
      <c r="F859" s="560">
        <v>3</v>
      </c>
      <c r="G859" s="560" t="s">
        <v>34</v>
      </c>
      <c r="H859" s="566">
        <v>1410.2564102564102</v>
      </c>
      <c r="I859" s="567" t="s">
        <v>489</v>
      </c>
      <c r="J859" s="568" t="s">
        <v>501</v>
      </c>
      <c r="L859" s="373">
        <v>1</v>
      </c>
    </row>
    <row r="860" spans="1:12" ht="21">
      <c r="A860" s="565">
        <v>855</v>
      </c>
      <c r="B860" s="560" t="s">
        <v>277</v>
      </c>
      <c r="C860" s="560" t="s">
        <v>462</v>
      </c>
      <c r="D860" s="560" t="s">
        <v>290</v>
      </c>
      <c r="E860" s="560">
        <v>240</v>
      </c>
      <c r="F860" s="560">
        <v>8</v>
      </c>
      <c r="G860" s="560" t="s">
        <v>34</v>
      </c>
      <c r="H860" s="566">
        <v>3076.9230769230771</v>
      </c>
      <c r="I860" s="567" t="s">
        <v>288</v>
      </c>
      <c r="J860" s="568" t="s">
        <v>496</v>
      </c>
      <c r="L860" s="373">
        <v>1</v>
      </c>
    </row>
    <row r="861" spans="1:12" ht="21">
      <c r="A861" s="565">
        <v>856</v>
      </c>
      <c r="B861" s="560" t="s">
        <v>278</v>
      </c>
      <c r="C861" s="560" t="s">
        <v>462</v>
      </c>
      <c r="D861" s="560" t="s">
        <v>292</v>
      </c>
      <c r="E861" s="560">
        <v>180</v>
      </c>
      <c r="F861" s="560">
        <v>5</v>
      </c>
      <c r="G861" s="560" t="s">
        <v>34</v>
      </c>
      <c r="H861" s="566">
        <v>2307.6923076923076</v>
      </c>
      <c r="I861" s="567" t="s">
        <v>288</v>
      </c>
      <c r="J861" s="568" t="s">
        <v>496</v>
      </c>
      <c r="L861" s="373">
        <v>1</v>
      </c>
    </row>
    <row r="862" spans="1:12">
      <c r="A862" s="565">
        <v>857</v>
      </c>
      <c r="B862" s="560" t="s">
        <v>278</v>
      </c>
      <c r="C862" s="560" t="s">
        <v>462</v>
      </c>
      <c r="D862" s="560" t="s">
        <v>292</v>
      </c>
      <c r="E862" s="560">
        <v>150</v>
      </c>
      <c r="F862" s="560">
        <v>4</v>
      </c>
      <c r="G862" s="560" t="s">
        <v>34</v>
      </c>
      <c r="H862" s="566">
        <v>1923.0769230769231</v>
      </c>
      <c r="I862" s="567" t="s">
        <v>464</v>
      </c>
      <c r="J862" s="568" t="s">
        <v>288</v>
      </c>
      <c r="L862" s="373">
        <v>1</v>
      </c>
    </row>
    <row r="863" spans="1:12" ht="21">
      <c r="A863" s="565">
        <v>858</v>
      </c>
      <c r="B863" s="560" t="s">
        <v>278</v>
      </c>
      <c r="C863" s="560" t="s">
        <v>462</v>
      </c>
      <c r="D863" s="560" t="s">
        <v>292</v>
      </c>
      <c r="E863" s="560">
        <v>170</v>
      </c>
      <c r="F863" s="560">
        <v>5</v>
      </c>
      <c r="G863" s="560" t="s">
        <v>34</v>
      </c>
      <c r="H863" s="566">
        <v>2179.4871794871797</v>
      </c>
      <c r="I863" s="567" t="s">
        <v>464</v>
      </c>
      <c r="J863" s="568" t="s">
        <v>498</v>
      </c>
      <c r="L863" s="373">
        <v>1</v>
      </c>
    </row>
    <row r="864" spans="1:12" ht="21">
      <c r="A864" s="565">
        <v>859</v>
      </c>
      <c r="B864" s="560" t="s">
        <v>278</v>
      </c>
      <c r="C864" s="560" t="s">
        <v>462</v>
      </c>
      <c r="D864" s="560" t="s">
        <v>292</v>
      </c>
      <c r="E864" s="560">
        <v>130</v>
      </c>
      <c r="F864" s="560">
        <v>4</v>
      </c>
      <c r="G864" s="560" t="s">
        <v>34</v>
      </c>
      <c r="H864" s="566">
        <v>1666.6666666666667</v>
      </c>
      <c r="I864" s="567" t="s">
        <v>288</v>
      </c>
      <c r="J864" s="568" t="s">
        <v>496</v>
      </c>
      <c r="L864" s="373">
        <v>1</v>
      </c>
    </row>
    <row r="865" spans="1:12">
      <c r="A865" s="565">
        <v>860</v>
      </c>
      <c r="B865" s="560" t="s">
        <v>278</v>
      </c>
      <c r="C865" s="560" t="s">
        <v>462</v>
      </c>
      <c r="D865" s="560" t="s">
        <v>290</v>
      </c>
      <c r="E865" s="560">
        <v>90</v>
      </c>
      <c r="F865" s="560">
        <v>3</v>
      </c>
      <c r="G865" s="560" t="s">
        <v>34</v>
      </c>
      <c r="H865" s="566">
        <v>1153.8461538461538</v>
      </c>
      <c r="I865" s="567" t="s">
        <v>464</v>
      </c>
      <c r="J865" s="568" t="s">
        <v>288</v>
      </c>
      <c r="L865" s="373">
        <v>1</v>
      </c>
    </row>
    <row r="866" spans="1:12" ht="21">
      <c r="A866" s="565">
        <v>861</v>
      </c>
      <c r="B866" s="560" t="s">
        <v>278</v>
      </c>
      <c r="C866" s="560" t="s">
        <v>462</v>
      </c>
      <c r="D866" s="560" t="s">
        <v>292</v>
      </c>
      <c r="E866" s="560">
        <v>120</v>
      </c>
      <c r="F866" s="560">
        <v>3</v>
      </c>
      <c r="G866" s="560" t="s">
        <v>115</v>
      </c>
      <c r="H866" s="566">
        <v>0</v>
      </c>
      <c r="I866" s="567" t="s">
        <v>464</v>
      </c>
      <c r="J866" s="568" t="s">
        <v>498</v>
      </c>
      <c r="L866" s="373">
        <v>1</v>
      </c>
    </row>
    <row r="867" spans="1:12" ht="21">
      <c r="A867" s="565">
        <v>862</v>
      </c>
      <c r="B867" s="560" t="s">
        <v>278</v>
      </c>
      <c r="C867" s="560" t="s">
        <v>462</v>
      </c>
      <c r="D867" s="560" t="s">
        <v>292</v>
      </c>
      <c r="E867" s="560">
        <v>100</v>
      </c>
      <c r="F867" s="560">
        <v>2</v>
      </c>
      <c r="G867" s="560" t="s">
        <v>115</v>
      </c>
      <c r="H867" s="566">
        <v>0</v>
      </c>
      <c r="I867" s="567" t="s">
        <v>288</v>
      </c>
      <c r="J867" s="568" t="s">
        <v>496</v>
      </c>
      <c r="L867" s="373">
        <v>1</v>
      </c>
    </row>
    <row r="868" spans="1:12" ht="21">
      <c r="A868" s="565">
        <v>863</v>
      </c>
      <c r="B868" s="560" t="s">
        <v>277</v>
      </c>
      <c r="C868" s="560" t="s">
        <v>462</v>
      </c>
      <c r="D868" s="560" t="s">
        <v>291</v>
      </c>
      <c r="E868" s="560">
        <v>210</v>
      </c>
      <c r="F868" s="560">
        <v>10</v>
      </c>
      <c r="G868" s="560" t="s">
        <v>34</v>
      </c>
      <c r="H868" s="566">
        <v>2692.3076923076924</v>
      </c>
      <c r="I868" s="567" t="s">
        <v>489</v>
      </c>
      <c r="J868" s="568" t="s">
        <v>288</v>
      </c>
      <c r="L868" s="373">
        <v>1</v>
      </c>
    </row>
    <row r="869" spans="1:12" ht="21">
      <c r="A869" s="565">
        <v>864</v>
      </c>
      <c r="B869" s="560" t="s">
        <v>278</v>
      </c>
      <c r="C869" s="560" t="s">
        <v>462</v>
      </c>
      <c r="D869" s="560" t="s">
        <v>293</v>
      </c>
      <c r="E869" s="560">
        <v>170</v>
      </c>
      <c r="F869" s="560">
        <v>4</v>
      </c>
      <c r="G869" s="560" t="s">
        <v>34</v>
      </c>
      <c r="H869" s="566">
        <v>2179.4871794871797</v>
      </c>
      <c r="I869" s="567" t="s">
        <v>489</v>
      </c>
      <c r="J869" s="568" t="s">
        <v>288</v>
      </c>
      <c r="L869" s="373">
        <v>1</v>
      </c>
    </row>
    <row r="870" spans="1:12" ht="21">
      <c r="A870" s="565">
        <v>865</v>
      </c>
      <c r="B870" s="560" t="s">
        <v>485</v>
      </c>
      <c r="C870" s="560" t="s">
        <v>462</v>
      </c>
      <c r="D870" s="560" t="s">
        <v>292</v>
      </c>
      <c r="E870" s="560">
        <v>220</v>
      </c>
      <c r="F870" s="560">
        <v>8</v>
      </c>
      <c r="G870" s="560" t="str">
        <f>G737</f>
        <v>inst.c.o.</v>
      </c>
      <c r="H870" s="566">
        <v>84.001527300496363</v>
      </c>
      <c r="I870" s="567" t="s">
        <v>464</v>
      </c>
      <c r="J870" s="568" t="s">
        <v>498</v>
      </c>
      <c r="L870" s="373">
        <v>1</v>
      </c>
    </row>
    <row r="871" spans="1:12" ht="21">
      <c r="A871" s="565">
        <v>866</v>
      </c>
      <c r="B871" s="560" t="s">
        <v>485</v>
      </c>
      <c r="C871" s="560" t="s">
        <v>462</v>
      </c>
      <c r="D871" s="560" t="s">
        <v>292</v>
      </c>
      <c r="E871" s="560">
        <v>250</v>
      </c>
      <c r="F871" s="560">
        <v>8</v>
      </c>
      <c r="G871" s="560" t="str">
        <f>G870</f>
        <v>inst.c.o.</v>
      </c>
      <c r="H871" s="566">
        <v>95.456281023291325</v>
      </c>
      <c r="I871" s="567" t="s">
        <v>288</v>
      </c>
      <c r="J871" s="568" t="s">
        <v>496</v>
      </c>
      <c r="L871" s="373">
        <v>1</v>
      </c>
    </row>
    <row r="872" spans="1:12" ht="21">
      <c r="A872" s="565">
        <v>867</v>
      </c>
      <c r="B872" s="560" t="s">
        <v>485</v>
      </c>
      <c r="C872" s="560" t="s">
        <v>462</v>
      </c>
      <c r="D872" s="560" t="s">
        <v>291</v>
      </c>
      <c r="E872" s="560">
        <v>11461</v>
      </c>
      <c r="F872" s="560">
        <v>42</v>
      </c>
      <c r="G872" s="560" t="str">
        <f t="shared" ref="G872:G881" si="17">G871</f>
        <v>inst.c.o.</v>
      </c>
      <c r="H872" s="566">
        <v>4376.0977472317672</v>
      </c>
      <c r="I872" s="567" t="s">
        <v>489</v>
      </c>
      <c r="J872" s="568" t="s">
        <v>288</v>
      </c>
      <c r="L872" s="373">
        <v>1</v>
      </c>
    </row>
    <row r="873" spans="1:12" ht="21">
      <c r="A873" s="565">
        <v>868</v>
      </c>
      <c r="B873" s="560" t="s">
        <v>485</v>
      </c>
      <c r="C873" s="560" t="s">
        <v>462</v>
      </c>
      <c r="D873" s="560" t="s">
        <v>293</v>
      </c>
      <c r="E873" s="560">
        <v>450</v>
      </c>
      <c r="F873" s="560">
        <v>10</v>
      </c>
      <c r="G873" s="560" t="str">
        <f t="shared" si="17"/>
        <v>inst.c.o.</v>
      </c>
      <c r="H873" s="566">
        <v>171.82130584192439</v>
      </c>
      <c r="I873" s="567" t="s">
        <v>288</v>
      </c>
      <c r="J873" s="568" t="s">
        <v>496</v>
      </c>
      <c r="L873" s="373">
        <v>1</v>
      </c>
    </row>
    <row r="874" spans="1:12" ht="21">
      <c r="A874" s="565">
        <v>869</v>
      </c>
      <c r="B874" s="560" t="s">
        <v>485</v>
      </c>
      <c r="C874" s="560" t="s">
        <v>462</v>
      </c>
      <c r="D874" s="560" t="s">
        <v>292</v>
      </c>
      <c r="E874" s="560">
        <v>180</v>
      </c>
      <c r="F874" s="560">
        <v>5</v>
      </c>
      <c r="G874" s="560" t="str">
        <f t="shared" si="17"/>
        <v>inst.c.o.</v>
      </c>
      <c r="H874" s="566">
        <v>68.728522336769757</v>
      </c>
      <c r="I874" s="567" t="s">
        <v>481</v>
      </c>
      <c r="J874" s="568" t="s">
        <v>288</v>
      </c>
      <c r="L874" s="373">
        <v>1</v>
      </c>
    </row>
    <row r="875" spans="1:12" ht="21">
      <c r="A875" s="565">
        <v>870</v>
      </c>
      <c r="B875" s="560" t="s">
        <v>485</v>
      </c>
      <c r="C875" s="560" t="s">
        <v>462</v>
      </c>
      <c r="D875" s="560" t="s">
        <v>292</v>
      </c>
      <c r="E875" s="560">
        <v>190</v>
      </c>
      <c r="F875" s="560">
        <v>5</v>
      </c>
      <c r="G875" s="560" t="str">
        <f t="shared" si="17"/>
        <v>inst.c.o.</v>
      </c>
      <c r="H875" s="566">
        <v>72.546773577701401</v>
      </c>
      <c r="I875" s="567" t="s">
        <v>472</v>
      </c>
      <c r="J875" s="568" t="s">
        <v>288</v>
      </c>
      <c r="L875" s="373">
        <v>1</v>
      </c>
    </row>
    <row r="876" spans="1:12" ht="21">
      <c r="A876" s="565">
        <v>871</v>
      </c>
      <c r="B876" s="560" t="s">
        <v>485</v>
      </c>
      <c r="C876" s="560" t="s">
        <v>462</v>
      </c>
      <c r="D876" s="560" t="s">
        <v>291</v>
      </c>
      <c r="E876" s="560">
        <v>625</v>
      </c>
      <c r="F876" s="560">
        <v>12</v>
      </c>
      <c r="G876" s="560" t="str">
        <f t="shared" si="17"/>
        <v>inst.c.o.</v>
      </c>
      <c r="H876" s="566">
        <v>238.6407025582283</v>
      </c>
      <c r="I876" s="567" t="s">
        <v>464</v>
      </c>
      <c r="J876" s="568" t="s">
        <v>498</v>
      </c>
      <c r="L876" s="373">
        <v>1</v>
      </c>
    </row>
    <row r="877" spans="1:12">
      <c r="A877" s="565">
        <v>872</v>
      </c>
      <c r="B877" s="560" t="s">
        <v>485</v>
      </c>
      <c r="C877" s="560" t="s">
        <v>462</v>
      </c>
      <c r="D877" s="560" t="s">
        <v>293</v>
      </c>
      <c r="E877" s="560">
        <v>840</v>
      </c>
      <c r="F877" s="560">
        <v>18</v>
      </c>
      <c r="G877" s="560" t="str">
        <f t="shared" si="17"/>
        <v>inst.c.o.</v>
      </c>
      <c r="H877" s="566">
        <v>320.73310423825887</v>
      </c>
      <c r="I877" s="567" t="s">
        <v>464</v>
      </c>
      <c r="J877" s="568" t="s">
        <v>288</v>
      </c>
      <c r="L877" s="373">
        <v>1</v>
      </c>
    </row>
    <row r="878" spans="1:12">
      <c r="A878" s="565">
        <v>873</v>
      </c>
      <c r="B878" s="560" t="s">
        <v>485</v>
      </c>
      <c r="C878" s="560" t="s">
        <v>462</v>
      </c>
      <c r="D878" s="560" t="s">
        <v>292</v>
      </c>
      <c r="E878" s="560">
        <v>841</v>
      </c>
      <c r="F878" s="560">
        <v>20</v>
      </c>
      <c r="G878" s="560" t="str">
        <f t="shared" si="17"/>
        <v>inst.c.o.</v>
      </c>
      <c r="H878" s="566">
        <v>321.11492936235203</v>
      </c>
      <c r="I878" s="567" t="s">
        <v>464</v>
      </c>
      <c r="J878" s="568" t="s">
        <v>288</v>
      </c>
      <c r="L878" s="373">
        <v>1</v>
      </c>
    </row>
    <row r="879" spans="1:12">
      <c r="A879" s="565">
        <v>874</v>
      </c>
      <c r="B879" s="560" t="s">
        <v>485</v>
      </c>
      <c r="C879" s="560" t="s">
        <v>462</v>
      </c>
      <c r="D879" s="560" t="s">
        <v>292</v>
      </c>
      <c r="E879" s="560">
        <v>5550</v>
      </c>
      <c r="F879" s="560">
        <v>62</v>
      </c>
      <c r="G879" s="560" t="str">
        <f t="shared" si="17"/>
        <v>inst.c.o.</v>
      </c>
      <c r="H879" s="566">
        <v>2119.1294387170674</v>
      </c>
      <c r="I879" s="567" t="s">
        <v>464</v>
      </c>
      <c r="J879" s="568" t="s">
        <v>288</v>
      </c>
      <c r="L879" s="373">
        <v>1</v>
      </c>
    </row>
    <row r="880" spans="1:12">
      <c r="A880" s="565">
        <v>875</v>
      </c>
      <c r="B880" s="560" t="s">
        <v>485</v>
      </c>
      <c r="C880" s="560" t="s">
        <v>462</v>
      </c>
      <c r="D880" s="560" t="s">
        <v>291</v>
      </c>
      <c r="E880" s="560">
        <v>2287</v>
      </c>
      <c r="F880" s="560">
        <v>31</v>
      </c>
      <c r="G880" s="560" t="str">
        <f t="shared" si="17"/>
        <v>inst.c.o.</v>
      </c>
      <c r="H880" s="566">
        <v>873.23405880106907</v>
      </c>
      <c r="I880" s="567" t="s">
        <v>464</v>
      </c>
      <c r="J880" s="568" t="s">
        <v>288</v>
      </c>
      <c r="L880" s="373">
        <v>1</v>
      </c>
    </row>
    <row r="881" spans="1:12" ht="21">
      <c r="A881" s="565">
        <v>876</v>
      </c>
      <c r="B881" s="560" t="s">
        <v>485</v>
      </c>
      <c r="C881" s="560" t="s">
        <v>462</v>
      </c>
      <c r="D881" s="560" t="s">
        <v>293</v>
      </c>
      <c r="E881" s="560">
        <v>64</v>
      </c>
      <c r="F881" s="560" t="s">
        <v>508</v>
      </c>
      <c r="G881" s="560" t="str">
        <f t="shared" si="17"/>
        <v>inst.c.o.</v>
      </c>
      <c r="H881" s="566">
        <v>24.436807941962581</v>
      </c>
      <c r="I881" s="567" t="s">
        <v>288</v>
      </c>
      <c r="J881" s="568" t="s">
        <v>496</v>
      </c>
      <c r="L881" s="373">
        <v>1</v>
      </c>
    </row>
    <row r="882" spans="1:12" ht="21">
      <c r="A882" s="565">
        <v>877</v>
      </c>
      <c r="B882" s="560" t="s">
        <v>485</v>
      </c>
      <c r="C882" s="560" t="s">
        <v>462</v>
      </c>
      <c r="D882" s="560" t="s">
        <v>291</v>
      </c>
      <c r="E882" s="560">
        <v>34</v>
      </c>
      <c r="F882" s="560" t="s">
        <v>508</v>
      </c>
      <c r="G882" s="560" t="s">
        <v>34</v>
      </c>
      <c r="H882" s="566">
        <v>435.89743589743591</v>
      </c>
      <c r="I882" s="567" t="s">
        <v>489</v>
      </c>
      <c r="J882" s="568" t="s">
        <v>288</v>
      </c>
      <c r="L882" s="373">
        <v>1</v>
      </c>
    </row>
    <row r="883" spans="1:12">
      <c r="A883" s="565">
        <v>878</v>
      </c>
      <c r="B883" s="560" t="s">
        <v>485</v>
      </c>
      <c r="C883" s="560" t="s">
        <v>462</v>
      </c>
      <c r="D883" s="560" t="s">
        <v>293</v>
      </c>
      <c r="E883" s="560">
        <v>727</v>
      </c>
      <c r="F883" s="560"/>
      <c r="G883" s="560" t="str">
        <f>G875</f>
        <v>inst.c.o.</v>
      </c>
      <c r="H883" s="566">
        <v>277.58686521573117</v>
      </c>
      <c r="I883" s="567" t="s">
        <v>288</v>
      </c>
      <c r="J883" s="568" t="s">
        <v>288</v>
      </c>
      <c r="L883" s="373">
        <v>1</v>
      </c>
    </row>
    <row r="884" spans="1:12">
      <c r="A884" s="565">
        <v>879</v>
      </c>
      <c r="B884" s="560" t="s">
        <v>278</v>
      </c>
      <c r="C884" s="560" t="s">
        <v>462</v>
      </c>
      <c r="D884" s="560" t="s">
        <v>291</v>
      </c>
      <c r="E884" s="560">
        <v>140</v>
      </c>
      <c r="F884" s="560">
        <v>6</v>
      </c>
      <c r="G884" s="560" t="str">
        <f>G876</f>
        <v>inst.c.o.</v>
      </c>
      <c r="H884" s="566">
        <v>53.455517373043143</v>
      </c>
      <c r="I884" s="567" t="s">
        <v>495</v>
      </c>
      <c r="J884" s="568" t="s">
        <v>288</v>
      </c>
      <c r="L884" s="373">
        <v>1</v>
      </c>
    </row>
    <row r="885" spans="1:12" ht="21">
      <c r="A885" s="565">
        <v>880</v>
      </c>
      <c r="B885" s="560" t="s">
        <v>278</v>
      </c>
      <c r="C885" s="560" t="s">
        <v>462</v>
      </c>
      <c r="D885" s="560" t="s">
        <v>503</v>
      </c>
      <c r="E885" s="560">
        <v>150</v>
      </c>
      <c r="F885" s="560">
        <v>4</v>
      </c>
      <c r="G885" s="560" t="s">
        <v>34</v>
      </c>
      <c r="H885" s="566">
        <v>1923.0769230769231</v>
      </c>
      <c r="I885" s="567" t="s">
        <v>288</v>
      </c>
      <c r="J885" s="568" t="s">
        <v>496</v>
      </c>
      <c r="L885" s="373">
        <v>1</v>
      </c>
    </row>
    <row r="886" spans="1:12" ht="21">
      <c r="A886" s="565">
        <v>881</v>
      </c>
      <c r="B886" s="560" t="s">
        <v>278</v>
      </c>
      <c r="C886" s="560" t="s">
        <v>462</v>
      </c>
      <c r="D886" s="560" t="s">
        <v>294</v>
      </c>
      <c r="E886" s="560">
        <v>188</v>
      </c>
      <c r="F886" s="560">
        <v>6</v>
      </c>
      <c r="G886" s="560" t="s">
        <v>34</v>
      </c>
      <c r="H886" s="566">
        <v>2410.2564102564102</v>
      </c>
      <c r="I886" s="567" t="s">
        <v>489</v>
      </c>
      <c r="J886" s="568" t="s">
        <v>288</v>
      </c>
      <c r="L886" s="373">
        <v>1</v>
      </c>
    </row>
    <row r="887" spans="1:12" ht="21">
      <c r="A887" s="565">
        <v>882</v>
      </c>
      <c r="B887" s="560" t="s">
        <v>278</v>
      </c>
      <c r="C887" s="560" t="s">
        <v>462</v>
      </c>
      <c r="D887" s="560" t="s">
        <v>294</v>
      </c>
      <c r="E887" s="560">
        <v>151</v>
      </c>
      <c r="F887" s="560">
        <v>3</v>
      </c>
      <c r="G887" s="560" t="s">
        <v>34</v>
      </c>
      <c r="H887" s="566">
        <v>1935.8974358974358</v>
      </c>
      <c r="I887" s="567" t="s">
        <v>489</v>
      </c>
      <c r="J887" s="568" t="s">
        <v>288</v>
      </c>
      <c r="L887" s="373">
        <v>1</v>
      </c>
    </row>
    <row r="888" spans="1:12">
      <c r="A888" s="565">
        <v>883</v>
      </c>
      <c r="B888" s="560" t="s">
        <v>278</v>
      </c>
      <c r="C888" s="560" t="s">
        <v>462</v>
      </c>
      <c r="D888" s="560" t="s">
        <v>291</v>
      </c>
      <c r="E888" s="560">
        <v>148</v>
      </c>
      <c r="F888" s="560">
        <v>4</v>
      </c>
      <c r="G888" s="560" t="s">
        <v>34</v>
      </c>
      <c r="H888" s="566">
        <v>1897.4358974358975</v>
      </c>
      <c r="I888" s="567" t="s">
        <v>464</v>
      </c>
      <c r="J888" s="568" t="s">
        <v>288</v>
      </c>
      <c r="L888" s="373">
        <v>1</v>
      </c>
    </row>
    <row r="889" spans="1:12">
      <c r="A889" s="565">
        <v>884</v>
      </c>
      <c r="B889" s="560" t="s">
        <v>278</v>
      </c>
      <c r="C889" s="560" t="s">
        <v>462</v>
      </c>
      <c r="D889" s="560" t="s">
        <v>292</v>
      </c>
      <c r="E889" s="560">
        <v>172</v>
      </c>
      <c r="F889" s="560">
        <v>6</v>
      </c>
      <c r="G889" s="560" t="s">
        <v>34</v>
      </c>
      <c r="H889" s="566">
        <v>2205.1282051282051</v>
      </c>
      <c r="I889" s="567" t="s">
        <v>464</v>
      </c>
      <c r="J889" s="568" t="s">
        <v>288</v>
      </c>
      <c r="L889" s="373">
        <v>1</v>
      </c>
    </row>
    <row r="890" spans="1:12" ht="21">
      <c r="A890" s="565">
        <v>885</v>
      </c>
      <c r="B890" s="560" t="s">
        <v>278</v>
      </c>
      <c r="C890" s="560" t="s">
        <v>462</v>
      </c>
      <c r="D890" s="560" t="s">
        <v>291</v>
      </c>
      <c r="E890" s="560">
        <v>153</v>
      </c>
      <c r="F890" s="560">
        <v>3</v>
      </c>
      <c r="G890" s="560" t="s">
        <v>34</v>
      </c>
      <c r="H890" s="566">
        <v>1961.5384615384614</v>
      </c>
      <c r="I890" s="567" t="s">
        <v>464</v>
      </c>
      <c r="J890" s="568" t="s">
        <v>498</v>
      </c>
      <c r="L890" s="373">
        <v>1</v>
      </c>
    </row>
    <row r="891" spans="1:12">
      <c r="A891" s="565">
        <v>886</v>
      </c>
      <c r="B891" s="560" t="s">
        <v>278</v>
      </c>
      <c r="C891" s="560" t="s">
        <v>462</v>
      </c>
      <c r="D891" s="560" t="s">
        <v>291</v>
      </c>
      <c r="E891" s="560">
        <v>141</v>
      </c>
      <c r="F891" s="560">
        <v>4</v>
      </c>
      <c r="G891" s="560" t="s">
        <v>34</v>
      </c>
      <c r="H891" s="566">
        <v>1807.6923076923076</v>
      </c>
      <c r="I891" s="567" t="s">
        <v>499</v>
      </c>
      <c r="J891" s="568" t="s">
        <v>288</v>
      </c>
      <c r="L891" s="373">
        <v>1</v>
      </c>
    </row>
    <row r="892" spans="1:12">
      <c r="A892" s="565">
        <v>887</v>
      </c>
      <c r="B892" s="560" t="s">
        <v>278</v>
      </c>
      <c r="C892" s="560" t="s">
        <v>462</v>
      </c>
      <c r="D892" s="560" t="s">
        <v>291</v>
      </c>
      <c r="E892" s="560">
        <v>159</v>
      </c>
      <c r="F892" s="560">
        <v>5</v>
      </c>
      <c r="G892" s="560" t="s">
        <v>34</v>
      </c>
      <c r="H892" s="566">
        <v>2038.4615384615386</v>
      </c>
      <c r="I892" s="567" t="s">
        <v>464</v>
      </c>
      <c r="J892" s="568" t="s">
        <v>288</v>
      </c>
      <c r="L892" s="373">
        <v>1</v>
      </c>
    </row>
    <row r="893" spans="1:12">
      <c r="A893" s="565">
        <v>888</v>
      </c>
      <c r="B893" s="560" t="s">
        <v>278</v>
      </c>
      <c r="C893" s="560" t="s">
        <v>462</v>
      </c>
      <c r="D893" s="560" t="s">
        <v>291</v>
      </c>
      <c r="E893" s="560">
        <v>161</v>
      </c>
      <c r="F893" s="560">
        <v>6</v>
      </c>
      <c r="G893" s="560" t="s">
        <v>34</v>
      </c>
      <c r="H893" s="566">
        <v>2064.102564102564</v>
      </c>
      <c r="I893" s="567" t="s">
        <v>464</v>
      </c>
      <c r="J893" s="568" t="s">
        <v>495</v>
      </c>
      <c r="L893" s="373">
        <v>1</v>
      </c>
    </row>
    <row r="894" spans="1:12">
      <c r="A894" s="565">
        <v>889</v>
      </c>
      <c r="B894" s="560" t="s">
        <v>278</v>
      </c>
      <c r="C894" s="560" t="s">
        <v>462</v>
      </c>
      <c r="D894" s="560" t="s">
        <v>291</v>
      </c>
      <c r="E894" s="560">
        <v>152</v>
      </c>
      <c r="F894" s="560">
        <v>4</v>
      </c>
      <c r="G894" s="560" t="s">
        <v>34</v>
      </c>
      <c r="H894" s="566">
        <v>1948.7179487179487</v>
      </c>
      <c r="I894" s="567" t="s">
        <v>464</v>
      </c>
      <c r="J894" s="568" t="s">
        <v>288</v>
      </c>
      <c r="L894" s="373">
        <v>1</v>
      </c>
    </row>
    <row r="895" spans="1:12" ht="21">
      <c r="A895" s="565">
        <v>890</v>
      </c>
      <c r="B895" s="560" t="s">
        <v>278</v>
      </c>
      <c r="C895" s="560" t="s">
        <v>462</v>
      </c>
      <c r="D895" s="560" t="s">
        <v>294</v>
      </c>
      <c r="E895" s="560">
        <v>159</v>
      </c>
      <c r="F895" s="560">
        <v>5</v>
      </c>
      <c r="G895" s="560" t="s">
        <v>34</v>
      </c>
      <c r="H895" s="566">
        <v>2038.4615384615386</v>
      </c>
      <c r="I895" s="567" t="s">
        <v>489</v>
      </c>
      <c r="J895" s="568" t="s">
        <v>288</v>
      </c>
      <c r="L895" s="373">
        <v>1</v>
      </c>
    </row>
    <row r="896" spans="1:12" ht="21">
      <c r="A896" s="565">
        <v>891</v>
      </c>
      <c r="B896" s="560" t="s">
        <v>278</v>
      </c>
      <c r="C896" s="560" t="s">
        <v>462</v>
      </c>
      <c r="D896" s="560" t="s">
        <v>293</v>
      </c>
      <c r="E896" s="560">
        <v>148</v>
      </c>
      <c r="F896" s="560">
        <v>3</v>
      </c>
      <c r="G896" s="560" t="s">
        <v>34</v>
      </c>
      <c r="H896" s="566">
        <v>1897.4358974358975</v>
      </c>
      <c r="I896" s="567" t="s">
        <v>489</v>
      </c>
      <c r="J896" s="568" t="s">
        <v>288</v>
      </c>
      <c r="L896" s="373">
        <v>1</v>
      </c>
    </row>
    <row r="897" spans="1:12">
      <c r="A897" s="565">
        <v>892</v>
      </c>
      <c r="B897" s="560" t="s">
        <v>278</v>
      </c>
      <c r="C897" s="560" t="s">
        <v>462</v>
      </c>
      <c r="D897" s="560" t="s">
        <v>291</v>
      </c>
      <c r="E897" s="560">
        <v>149</v>
      </c>
      <c r="F897" s="560">
        <v>4</v>
      </c>
      <c r="G897" s="560" t="s">
        <v>34</v>
      </c>
      <c r="H897" s="566">
        <v>1910.2564102564102</v>
      </c>
      <c r="I897" s="567" t="s">
        <v>499</v>
      </c>
      <c r="J897" s="568" t="s">
        <v>288</v>
      </c>
      <c r="L897" s="373">
        <v>1</v>
      </c>
    </row>
    <row r="898" spans="1:12" ht="21">
      <c r="A898" s="565">
        <v>893</v>
      </c>
      <c r="B898" s="560" t="s">
        <v>278</v>
      </c>
      <c r="C898" s="560" t="s">
        <v>462</v>
      </c>
      <c r="D898" s="560" t="s">
        <v>294</v>
      </c>
      <c r="E898" s="560">
        <v>174</v>
      </c>
      <c r="F898" s="560">
        <v>5</v>
      </c>
      <c r="G898" s="560" t="s">
        <v>287</v>
      </c>
      <c r="H898" s="566">
        <v>34800</v>
      </c>
      <c r="I898" s="567" t="s">
        <v>489</v>
      </c>
      <c r="J898" s="568" t="s">
        <v>288</v>
      </c>
      <c r="L898" s="373">
        <v>1</v>
      </c>
    </row>
    <row r="899" spans="1:12" ht="21">
      <c r="A899" s="565">
        <v>894</v>
      </c>
      <c r="B899" s="560" t="s">
        <v>278</v>
      </c>
      <c r="C899" s="560" t="s">
        <v>462</v>
      </c>
      <c r="D899" s="560" t="s">
        <v>293</v>
      </c>
      <c r="E899" s="560">
        <v>159</v>
      </c>
      <c r="F899" s="560">
        <v>5</v>
      </c>
      <c r="G899" s="560" t="s">
        <v>34</v>
      </c>
      <c r="H899" s="566">
        <v>2038.4615384615386</v>
      </c>
      <c r="I899" s="567" t="s">
        <v>489</v>
      </c>
      <c r="J899" s="568" t="s">
        <v>288</v>
      </c>
      <c r="L899" s="373">
        <v>1</v>
      </c>
    </row>
    <row r="900" spans="1:12">
      <c r="A900" s="565">
        <v>895</v>
      </c>
      <c r="B900" s="560" t="s">
        <v>278</v>
      </c>
      <c r="C900" s="560" t="s">
        <v>462</v>
      </c>
      <c r="D900" s="560" t="s">
        <v>291</v>
      </c>
      <c r="E900" s="560">
        <v>122</v>
      </c>
      <c r="F900" s="560">
        <v>3</v>
      </c>
      <c r="G900" s="560" t="s">
        <v>34</v>
      </c>
      <c r="H900" s="566">
        <v>1564.1025641025642</v>
      </c>
      <c r="I900" s="567" t="s">
        <v>499</v>
      </c>
      <c r="J900" s="568" t="s">
        <v>288</v>
      </c>
      <c r="L900" s="373">
        <v>1</v>
      </c>
    </row>
    <row r="901" spans="1:12">
      <c r="A901" s="565">
        <v>896</v>
      </c>
      <c r="B901" s="560" t="s">
        <v>278</v>
      </c>
      <c r="C901" s="560" t="s">
        <v>462</v>
      </c>
      <c r="D901" s="560" t="s">
        <v>292</v>
      </c>
      <c r="E901" s="560">
        <v>145</v>
      </c>
      <c r="F901" s="560">
        <v>4</v>
      </c>
      <c r="G901" s="560" t="s">
        <v>34</v>
      </c>
      <c r="H901" s="566">
        <v>1858.9743589743589</v>
      </c>
      <c r="I901" s="567" t="s">
        <v>464</v>
      </c>
      <c r="J901" s="568" t="s">
        <v>288</v>
      </c>
      <c r="L901" s="373">
        <v>1</v>
      </c>
    </row>
    <row r="902" spans="1:12" ht="21">
      <c r="A902" s="565">
        <v>897</v>
      </c>
      <c r="B902" s="560" t="s">
        <v>278</v>
      </c>
      <c r="C902" s="560" t="s">
        <v>462</v>
      </c>
      <c r="D902" s="560" t="s">
        <v>291</v>
      </c>
      <c r="E902" s="560">
        <v>149</v>
      </c>
      <c r="F902" s="560">
        <v>5</v>
      </c>
      <c r="G902" s="560" t="s">
        <v>34</v>
      </c>
      <c r="H902" s="566">
        <v>1910.2564102564102</v>
      </c>
      <c r="I902" s="567" t="s">
        <v>464</v>
      </c>
      <c r="J902" s="568" t="s">
        <v>498</v>
      </c>
      <c r="L902" s="373">
        <v>1</v>
      </c>
    </row>
    <row r="903" spans="1:12">
      <c r="A903" s="565">
        <v>898</v>
      </c>
      <c r="B903" s="560" t="s">
        <v>278</v>
      </c>
      <c r="C903" s="560" t="s">
        <v>462</v>
      </c>
      <c r="D903" s="560" t="s">
        <v>293</v>
      </c>
      <c r="E903" s="560">
        <v>141</v>
      </c>
      <c r="F903" s="560">
        <v>4</v>
      </c>
      <c r="G903" s="560" t="s">
        <v>34</v>
      </c>
      <c r="H903" s="566">
        <v>1807.6923076923076</v>
      </c>
      <c r="I903" s="567" t="s">
        <v>464</v>
      </c>
      <c r="J903" s="568" t="s">
        <v>288</v>
      </c>
      <c r="L903" s="373">
        <v>1</v>
      </c>
    </row>
    <row r="904" spans="1:12">
      <c r="A904" s="565">
        <v>899</v>
      </c>
      <c r="B904" s="560" t="s">
        <v>278</v>
      </c>
      <c r="C904" s="560" t="s">
        <v>462</v>
      </c>
      <c r="D904" s="560" t="s">
        <v>291</v>
      </c>
      <c r="E904" s="560">
        <v>128</v>
      </c>
      <c r="F904" s="560">
        <v>3</v>
      </c>
      <c r="G904" s="560" t="s">
        <v>34</v>
      </c>
      <c r="H904" s="566">
        <v>1641.0256410256411</v>
      </c>
      <c r="I904" s="567" t="s">
        <v>464</v>
      </c>
      <c r="J904" s="568" t="s">
        <v>288</v>
      </c>
      <c r="L904" s="373">
        <v>1</v>
      </c>
    </row>
    <row r="905" spans="1:12">
      <c r="A905" s="565">
        <v>900</v>
      </c>
      <c r="B905" s="560" t="s">
        <v>278</v>
      </c>
      <c r="C905" s="560" t="s">
        <v>462</v>
      </c>
      <c r="D905" s="560" t="s">
        <v>291</v>
      </c>
      <c r="E905" s="560">
        <v>142</v>
      </c>
      <c r="F905" s="560">
        <v>3</v>
      </c>
      <c r="G905" s="560" t="s">
        <v>34</v>
      </c>
      <c r="H905" s="566">
        <v>1820.5128205128206</v>
      </c>
      <c r="I905" s="567" t="s">
        <v>464</v>
      </c>
      <c r="J905" s="568" t="s">
        <v>288</v>
      </c>
      <c r="L905" s="373">
        <v>1</v>
      </c>
    </row>
    <row r="906" spans="1:12">
      <c r="A906" s="565">
        <v>901</v>
      </c>
      <c r="B906" s="560" t="s">
        <v>278</v>
      </c>
      <c r="C906" s="560" t="s">
        <v>462</v>
      </c>
      <c r="D906" s="560" t="s">
        <v>291</v>
      </c>
      <c r="E906" s="560">
        <v>148</v>
      </c>
      <c r="F906" s="560">
        <v>4</v>
      </c>
      <c r="G906" s="560" t="s">
        <v>34</v>
      </c>
      <c r="H906" s="566">
        <v>1897.4358974358975</v>
      </c>
      <c r="I906" s="567" t="s">
        <v>499</v>
      </c>
      <c r="J906" s="568" t="s">
        <v>288</v>
      </c>
      <c r="L906" s="373">
        <v>1</v>
      </c>
    </row>
    <row r="907" spans="1:12">
      <c r="A907" s="565">
        <v>902</v>
      </c>
      <c r="B907" s="560" t="s">
        <v>278</v>
      </c>
      <c r="C907" s="560" t="s">
        <v>462</v>
      </c>
      <c r="D907" s="560" t="s">
        <v>291</v>
      </c>
      <c r="E907" s="560">
        <v>161</v>
      </c>
      <c r="F907" s="560">
        <v>6</v>
      </c>
      <c r="G907" s="560" t="s">
        <v>34</v>
      </c>
      <c r="H907" s="566">
        <v>2064.102564102564</v>
      </c>
      <c r="I907" s="567" t="s">
        <v>499</v>
      </c>
      <c r="J907" s="568" t="s">
        <v>288</v>
      </c>
      <c r="L907" s="373">
        <v>1</v>
      </c>
    </row>
    <row r="908" spans="1:12">
      <c r="A908" s="565">
        <v>903</v>
      </c>
      <c r="B908" s="560" t="s">
        <v>278</v>
      </c>
      <c r="C908" s="560" t="s">
        <v>462</v>
      </c>
      <c r="D908" s="560" t="s">
        <v>291</v>
      </c>
      <c r="E908" s="560">
        <v>138</v>
      </c>
      <c r="F908" s="560">
        <v>4</v>
      </c>
      <c r="G908" s="560" t="s">
        <v>34</v>
      </c>
      <c r="H908" s="566">
        <v>1769.2307692307693</v>
      </c>
      <c r="I908" s="567" t="s">
        <v>499</v>
      </c>
      <c r="J908" s="568" t="s">
        <v>288</v>
      </c>
      <c r="L908" s="373">
        <v>1</v>
      </c>
    </row>
    <row r="909" spans="1:12">
      <c r="A909" s="565">
        <v>904</v>
      </c>
      <c r="B909" s="560" t="s">
        <v>278</v>
      </c>
      <c r="C909" s="560" t="s">
        <v>462</v>
      </c>
      <c r="D909" s="560" t="s">
        <v>291</v>
      </c>
      <c r="E909" s="560">
        <v>124</v>
      </c>
      <c r="F909" s="560">
        <v>4</v>
      </c>
      <c r="G909" s="560" t="s">
        <v>34</v>
      </c>
      <c r="H909" s="566">
        <v>1589.7435897435898</v>
      </c>
      <c r="I909" s="567" t="s">
        <v>464</v>
      </c>
      <c r="J909" s="568" t="s">
        <v>288</v>
      </c>
      <c r="L909" s="373">
        <v>1</v>
      </c>
    </row>
    <row r="910" spans="1:12">
      <c r="A910" s="565">
        <v>905</v>
      </c>
      <c r="B910" s="560" t="s">
        <v>278</v>
      </c>
      <c r="C910" s="560" t="s">
        <v>462</v>
      </c>
      <c r="D910" s="560" t="s">
        <v>291</v>
      </c>
      <c r="E910" s="560">
        <v>145</v>
      </c>
      <c r="F910" s="560">
        <v>3</v>
      </c>
      <c r="G910" s="560" t="s">
        <v>286</v>
      </c>
      <c r="H910" s="566">
        <v>4.0673211781206176</v>
      </c>
      <c r="I910" s="567" t="s">
        <v>499</v>
      </c>
      <c r="J910" s="568" t="s">
        <v>288</v>
      </c>
      <c r="L910" s="373">
        <v>1</v>
      </c>
    </row>
    <row r="911" spans="1:12" ht="21">
      <c r="A911" s="565">
        <v>906</v>
      </c>
      <c r="B911" s="560" t="s">
        <v>278</v>
      </c>
      <c r="C911" s="560" t="s">
        <v>462</v>
      </c>
      <c r="D911" s="560" t="s">
        <v>294</v>
      </c>
      <c r="E911" s="560">
        <v>162</v>
      </c>
      <c r="F911" s="560">
        <v>4</v>
      </c>
      <c r="G911" s="560" t="s">
        <v>34</v>
      </c>
      <c r="H911" s="566">
        <v>2076.9230769230771</v>
      </c>
      <c r="I911" s="567" t="s">
        <v>489</v>
      </c>
      <c r="J911" s="568" t="s">
        <v>288</v>
      </c>
      <c r="L911" s="373">
        <v>1</v>
      </c>
    </row>
    <row r="912" spans="1:12">
      <c r="A912" s="565">
        <v>907</v>
      </c>
      <c r="B912" s="560" t="s">
        <v>278</v>
      </c>
      <c r="C912" s="560" t="s">
        <v>462</v>
      </c>
      <c r="D912" s="560" t="s">
        <v>291</v>
      </c>
      <c r="E912" s="560">
        <v>135</v>
      </c>
      <c r="F912" s="560">
        <v>3</v>
      </c>
      <c r="G912" s="560" t="s">
        <v>34</v>
      </c>
      <c r="H912" s="566">
        <v>1730.7692307692307</v>
      </c>
      <c r="I912" s="567" t="s">
        <v>499</v>
      </c>
      <c r="J912" s="568" t="s">
        <v>288</v>
      </c>
      <c r="L912" s="373">
        <v>1</v>
      </c>
    </row>
    <row r="913" spans="1:12">
      <c r="A913" s="565">
        <v>908</v>
      </c>
      <c r="B913" s="560" t="s">
        <v>278</v>
      </c>
      <c r="C913" s="560" t="s">
        <v>462</v>
      </c>
      <c r="D913" s="560" t="s">
        <v>292</v>
      </c>
      <c r="E913" s="560">
        <v>149</v>
      </c>
      <c r="F913" s="560">
        <v>5</v>
      </c>
      <c r="G913" s="560" t="s">
        <v>286</v>
      </c>
      <c r="H913" s="566">
        <v>4.179523141654979</v>
      </c>
      <c r="I913" s="567" t="s">
        <v>288</v>
      </c>
      <c r="J913" s="568" t="s">
        <v>288</v>
      </c>
      <c r="L913" s="373">
        <v>1</v>
      </c>
    </row>
    <row r="914" spans="1:12">
      <c r="A914" s="565">
        <v>909</v>
      </c>
      <c r="B914" s="560" t="s">
        <v>278</v>
      </c>
      <c r="C914" s="560" t="s">
        <v>462</v>
      </c>
      <c r="D914" s="560" t="s">
        <v>291</v>
      </c>
      <c r="E914" s="560">
        <v>159</v>
      </c>
      <c r="F914" s="560">
        <v>4</v>
      </c>
      <c r="G914" s="560" t="s">
        <v>286</v>
      </c>
      <c r="H914" s="566">
        <v>4.4600280504908838</v>
      </c>
      <c r="I914" s="567" t="s">
        <v>464</v>
      </c>
      <c r="J914" s="568" t="s">
        <v>288</v>
      </c>
      <c r="L914" s="373">
        <v>1</v>
      </c>
    </row>
    <row r="915" spans="1:12">
      <c r="A915" s="565">
        <v>910</v>
      </c>
      <c r="B915" s="560" t="s">
        <v>278</v>
      </c>
      <c r="C915" s="560" t="s">
        <v>462</v>
      </c>
      <c r="D915" s="560" t="s">
        <v>291</v>
      </c>
      <c r="E915" s="560">
        <v>156</v>
      </c>
      <c r="F915" s="560">
        <v>5</v>
      </c>
      <c r="G915" s="560" t="s">
        <v>286</v>
      </c>
      <c r="H915" s="566">
        <v>4.3758765778401125</v>
      </c>
      <c r="I915" s="567" t="s">
        <v>499</v>
      </c>
      <c r="J915" s="568" t="s">
        <v>288</v>
      </c>
      <c r="L915" s="373">
        <v>1</v>
      </c>
    </row>
    <row r="916" spans="1:12" ht="21">
      <c r="A916" s="565">
        <v>911</v>
      </c>
      <c r="B916" s="560" t="s">
        <v>278</v>
      </c>
      <c r="C916" s="560" t="s">
        <v>462</v>
      </c>
      <c r="D916" s="560" t="s">
        <v>291</v>
      </c>
      <c r="E916" s="560">
        <v>153</v>
      </c>
      <c r="F916" s="560">
        <v>6</v>
      </c>
      <c r="G916" s="560" t="s">
        <v>34</v>
      </c>
      <c r="H916" s="566">
        <v>1961.5384615384614</v>
      </c>
      <c r="I916" s="567" t="s">
        <v>288</v>
      </c>
      <c r="J916" s="568" t="s">
        <v>498</v>
      </c>
      <c r="L916" s="373">
        <v>1</v>
      </c>
    </row>
    <row r="917" spans="1:12">
      <c r="A917" s="565">
        <v>912</v>
      </c>
      <c r="B917" s="560" t="s">
        <v>278</v>
      </c>
      <c r="C917" s="560" t="s">
        <v>462</v>
      </c>
      <c r="D917" s="560" t="s">
        <v>292</v>
      </c>
      <c r="E917" s="560">
        <v>121</v>
      </c>
      <c r="F917" s="560">
        <v>2</v>
      </c>
      <c r="G917" s="560" t="s">
        <v>34</v>
      </c>
      <c r="H917" s="566">
        <v>1551.2820512820513</v>
      </c>
      <c r="I917" s="567" t="s">
        <v>464</v>
      </c>
      <c r="J917" s="568" t="s">
        <v>288</v>
      </c>
      <c r="L917" s="373">
        <v>1</v>
      </c>
    </row>
    <row r="918" spans="1:12" ht="21">
      <c r="A918" s="565">
        <v>913</v>
      </c>
      <c r="B918" s="560" t="s">
        <v>278</v>
      </c>
      <c r="C918" s="560" t="s">
        <v>462</v>
      </c>
      <c r="D918" s="560" t="s">
        <v>291</v>
      </c>
      <c r="E918" s="560">
        <v>127</v>
      </c>
      <c r="F918" s="560">
        <v>3</v>
      </c>
      <c r="G918" s="560" t="s">
        <v>34</v>
      </c>
      <c r="H918" s="566">
        <v>1628.2051282051282</v>
      </c>
      <c r="I918" s="567" t="s">
        <v>489</v>
      </c>
      <c r="J918" s="568" t="s">
        <v>288</v>
      </c>
      <c r="L918" s="373">
        <v>1</v>
      </c>
    </row>
    <row r="919" spans="1:12">
      <c r="A919" s="565">
        <v>914</v>
      </c>
      <c r="B919" s="560" t="s">
        <v>278</v>
      </c>
      <c r="C919" s="560" t="s">
        <v>462</v>
      </c>
      <c r="D919" s="560" t="s">
        <v>291</v>
      </c>
      <c r="E919" s="560">
        <v>148</v>
      </c>
      <c r="F919" s="560">
        <v>5</v>
      </c>
      <c r="G919" s="560" t="s">
        <v>286</v>
      </c>
      <c r="H919" s="566">
        <v>4.1514726507713888</v>
      </c>
      <c r="I919" s="567" t="s">
        <v>288</v>
      </c>
      <c r="J919" s="568" t="s">
        <v>288</v>
      </c>
      <c r="L919" s="373">
        <v>1</v>
      </c>
    </row>
    <row r="920" spans="1:12">
      <c r="A920" s="565">
        <v>915</v>
      </c>
      <c r="B920" s="560" t="s">
        <v>278</v>
      </c>
      <c r="C920" s="560" t="s">
        <v>462</v>
      </c>
      <c r="D920" s="560" t="s">
        <v>291</v>
      </c>
      <c r="E920" s="560">
        <v>137</v>
      </c>
      <c r="F920" s="560">
        <v>3</v>
      </c>
      <c r="G920" s="560" t="s">
        <v>34</v>
      </c>
      <c r="H920" s="566">
        <v>1756.4102564102564</v>
      </c>
      <c r="I920" s="567" t="s">
        <v>499</v>
      </c>
      <c r="J920" s="568" t="s">
        <v>288</v>
      </c>
      <c r="L920" s="373">
        <v>1</v>
      </c>
    </row>
    <row r="921" spans="1:12">
      <c r="A921" s="565">
        <v>916</v>
      </c>
      <c r="B921" s="560" t="s">
        <v>278</v>
      </c>
      <c r="C921" s="560" t="s">
        <v>462</v>
      </c>
      <c r="D921" s="560" t="s">
        <v>291</v>
      </c>
      <c r="E921" s="560">
        <v>136</v>
      </c>
      <c r="F921" s="560">
        <v>4</v>
      </c>
      <c r="G921" s="560" t="s">
        <v>286</v>
      </c>
      <c r="H921" s="566">
        <v>3.8148667601683033</v>
      </c>
      <c r="I921" s="567" t="s">
        <v>464</v>
      </c>
      <c r="J921" s="568" t="s">
        <v>288</v>
      </c>
      <c r="L921" s="373">
        <v>1</v>
      </c>
    </row>
    <row r="922" spans="1:12">
      <c r="A922" s="565">
        <v>917</v>
      </c>
      <c r="B922" s="560" t="s">
        <v>278</v>
      </c>
      <c r="C922" s="560" t="s">
        <v>462</v>
      </c>
      <c r="D922" s="560" t="s">
        <v>291</v>
      </c>
      <c r="E922" s="560">
        <v>120</v>
      </c>
      <c r="F922" s="560">
        <v>6</v>
      </c>
      <c r="G922" s="560" t="s">
        <v>34</v>
      </c>
      <c r="H922" s="566">
        <v>1538.4615384615386</v>
      </c>
      <c r="I922" s="567" t="s">
        <v>499</v>
      </c>
      <c r="J922" s="568" t="s">
        <v>288</v>
      </c>
      <c r="L922" s="373">
        <v>1</v>
      </c>
    </row>
    <row r="923" spans="1:12">
      <c r="A923" s="565">
        <v>918</v>
      </c>
      <c r="B923" s="560" t="s">
        <v>278</v>
      </c>
      <c r="C923" s="560" t="s">
        <v>462</v>
      </c>
      <c r="D923" s="560" t="s">
        <v>291</v>
      </c>
      <c r="E923" s="560">
        <v>120</v>
      </c>
      <c r="F923" s="560">
        <v>5</v>
      </c>
      <c r="G923" s="560" t="s">
        <v>34</v>
      </c>
      <c r="H923" s="566">
        <v>1538.4615384615386</v>
      </c>
      <c r="I923" s="567" t="s">
        <v>499</v>
      </c>
      <c r="J923" s="568" t="s">
        <v>288</v>
      </c>
      <c r="L923" s="373">
        <v>1</v>
      </c>
    </row>
    <row r="924" spans="1:12">
      <c r="A924" s="565">
        <v>919</v>
      </c>
      <c r="B924" s="560" t="s">
        <v>278</v>
      </c>
      <c r="C924" s="560" t="s">
        <v>462</v>
      </c>
      <c r="D924" s="560" t="s">
        <v>292</v>
      </c>
      <c r="E924" s="560">
        <v>144</v>
      </c>
      <c r="F924" s="560">
        <v>3</v>
      </c>
      <c r="G924" s="560" t="s">
        <v>34</v>
      </c>
      <c r="H924" s="566">
        <v>1846.1538461538462</v>
      </c>
      <c r="I924" s="567" t="s">
        <v>464</v>
      </c>
      <c r="J924" s="568" t="s">
        <v>288</v>
      </c>
      <c r="L924" s="373">
        <v>1</v>
      </c>
    </row>
    <row r="925" spans="1:12">
      <c r="A925" s="565">
        <v>920</v>
      </c>
      <c r="B925" s="560" t="s">
        <v>278</v>
      </c>
      <c r="C925" s="560" t="s">
        <v>462</v>
      </c>
      <c r="D925" s="560" t="s">
        <v>504</v>
      </c>
      <c r="E925" s="560">
        <v>142</v>
      </c>
      <c r="F925" s="560">
        <v>3</v>
      </c>
      <c r="G925" s="560" t="s">
        <v>34</v>
      </c>
      <c r="H925" s="566">
        <v>1820.5128205128206</v>
      </c>
      <c r="I925" s="567" t="s">
        <v>499</v>
      </c>
      <c r="J925" s="568" t="s">
        <v>288</v>
      </c>
      <c r="L925" s="373">
        <v>1</v>
      </c>
    </row>
    <row r="926" spans="1:12">
      <c r="A926" s="565">
        <v>921</v>
      </c>
      <c r="B926" s="560" t="s">
        <v>278</v>
      </c>
      <c r="C926" s="560" t="s">
        <v>462</v>
      </c>
      <c r="D926" s="560" t="s">
        <v>291</v>
      </c>
      <c r="E926" s="560">
        <v>151</v>
      </c>
      <c r="F926" s="560">
        <v>4</v>
      </c>
      <c r="G926" s="560" t="s">
        <v>287</v>
      </c>
      <c r="H926" s="566">
        <v>30200</v>
      </c>
      <c r="I926" s="567" t="s">
        <v>499</v>
      </c>
      <c r="J926" s="568" t="s">
        <v>288</v>
      </c>
      <c r="L926" s="373">
        <v>1</v>
      </c>
    </row>
    <row r="927" spans="1:12">
      <c r="A927" s="565">
        <v>922</v>
      </c>
      <c r="B927" s="560" t="s">
        <v>278</v>
      </c>
      <c r="C927" s="560" t="s">
        <v>462</v>
      </c>
      <c r="D927" s="560" t="s">
        <v>293</v>
      </c>
      <c r="E927" s="560">
        <v>132</v>
      </c>
      <c r="F927" s="560">
        <v>3</v>
      </c>
      <c r="G927" s="560" t="s">
        <v>34</v>
      </c>
      <c r="H927" s="566">
        <v>1692.3076923076924</v>
      </c>
      <c r="I927" s="567" t="s">
        <v>499</v>
      </c>
      <c r="J927" s="568" t="s">
        <v>500</v>
      </c>
      <c r="L927" s="373">
        <v>1</v>
      </c>
    </row>
    <row r="928" spans="1:12" ht="21">
      <c r="A928" s="565">
        <v>923</v>
      </c>
      <c r="B928" s="560" t="s">
        <v>278</v>
      </c>
      <c r="C928" s="560" t="s">
        <v>462</v>
      </c>
      <c r="D928" s="560" t="s">
        <v>294</v>
      </c>
      <c r="E928" s="560">
        <v>135</v>
      </c>
      <c r="F928" s="560">
        <v>4</v>
      </c>
      <c r="G928" s="560" t="s">
        <v>34</v>
      </c>
      <c r="H928" s="566">
        <v>1730.7692307692307</v>
      </c>
      <c r="I928" s="567" t="s">
        <v>489</v>
      </c>
      <c r="J928" s="568" t="s">
        <v>288</v>
      </c>
      <c r="L928" s="373">
        <v>1</v>
      </c>
    </row>
    <row r="929" spans="1:12" ht="21">
      <c r="A929" s="565">
        <v>924</v>
      </c>
      <c r="B929" s="560" t="s">
        <v>278</v>
      </c>
      <c r="C929" s="560" t="s">
        <v>462</v>
      </c>
      <c r="D929" s="560" t="s">
        <v>294</v>
      </c>
      <c r="E929" s="560">
        <v>162</v>
      </c>
      <c r="F929" s="560">
        <v>5</v>
      </c>
      <c r="G929" s="560" t="s">
        <v>34</v>
      </c>
      <c r="H929" s="566">
        <v>2076.9230769230771</v>
      </c>
      <c r="I929" s="567" t="s">
        <v>489</v>
      </c>
      <c r="J929" s="568" t="s">
        <v>288</v>
      </c>
      <c r="L929" s="373">
        <v>1</v>
      </c>
    </row>
    <row r="930" spans="1:12" ht="21">
      <c r="A930" s="565">
        <v>925</v>
      </c>
      <c r="B930" s="560" t="s">
        <v>278</v>
      </c>
      <c r="C930" s="560" t="s">
        <v>462</v>
      </c>
      <c r="D930" s="560" t="s">
        <v>294</v>
      </c>
      <c r="E930" s="560">
        <v>141</v>
      </c>
      <c r="F930" s="560">
        <v>4</v>
      </c>
      <c r="G930" s="560" t="s">
        <v>34</v>
      </c>
      <c r="H930" s="566">
        <v>1807.6923076923076</v>
      </c>
      <c r="I930" s="567" t="s">
        <v>489</v>
      </c>
      <c r="J930" s="568" t="s">
        <v>288</v>
      </c>
      <c r="L930" s="373">
        <v>1</v>
      </c>
    </row>
    <row r="931" spans="1:12">
      <c r="A931" s="565">
        <v>926</v>
      </c>
      <c r="B931" s="560" t="s">
        <v>278</v>
      </c>
      <c r="C931" s="560" t="s">
        <v>462</v>
      </c>
      <c r="D931" s="560" t="s">
        <v>290</v>
      </c>
      <c r="E931" s="560">
        <v>132</v>
      </c>
      <c r="F931" s="560">
        <v>4</v>
      </c>
      <c r="G931" s="560" t="s">
        <v>286</v>
      </c>
      <c r="H931" s="566">
        <v>3.7026647966339414</v>
      </c>
      <c r="I931" s="567" t="s">
        <v>288</v>
      </c>
      <c r="J931" s="568" t="s">
        <v>288</v>
      </c>
      <c r="L931" s="373">
        <v>1</v>
      </c>
    </row>
    <row r="932" spans="1:12">
      <c r="A932" s="565">
        <v>927</v>
      </c>
      <c r="B932" s="560" t="s">
        <v>278</v>
      </c>
      <c r="C932" s="560" t="s">
        <v>462</v>
      </c>
      <c r="D932" s="560" t="s">
        <v>292</v>
      </c>
      <c r="E932" s="560">
        <v>171</v>
      </c>
      <c r="F932" s="560">
        <v>6</v>
      </c>
      <c r="G932" s="560" t="s">
        <v>34</v>
      </c>
      <c r="H932" s="566">
        <v>2192.3076923076924</v>
      </c>
      <c r="I932" s="567" t="s">
        <v>499</v>
      </c>
      <c r="J932" s="568" t="s">
        <v>288</v>
      </c>
      <c r="L932" s="373">
        <v>1</v>
      </c>
    </row>
    <row r="933" spans="1:12">
      <c r="A933" s="565">
        <v>928</v>
      </c>
      <c r="B933" s="560" t="s">
        <v>278</v>
      </c>
      <c r="C933" s="560" t="s">
        <v>462</v>
      </c>
      <c r="D933" s="560" t="s">
        <v>291</v>
      </c>
      <c r="E933" s="560">
        <v>127</v>
      </c>
      <c r="F933" s="560">
        <v>3</v>
      </c>
      <c r="G933" s="560" t="s">
        <v>34</v>
      </c>
      <c r="H933" s="566">
        <v>1628.2051282051282</v>
      </c>
      <c r="I933" s="567" t="s">
        <v>499</v>
      </c>
      <c r="J933" s="568" t="s">
        <v>288</v>
      </c>
      <c r="L933" s="373">
        <v>1</v>
      </c>
    </row>
    <row r="934" spans="1:12">
      <c r="A934" s="565">
        <v>929</v>
      </c>
      <c r="B934" s="560" t="s">
        <v>278</v>
      </c>
      <c r="C934" s="560" t="s">
        <v>462</v>
      </c>
      <c r="D934" s="560" t="s">
        <v>291</v>
      </c>
      <c r="E934" s="560">
        <v>135</v>
      </c>
      <c r="F934" s="560">
        <v>5</v>
      </c>
      <c r="G934" s="560" t="s">
        <v>286</v>
      </c>
      <c r="H934" s="566">
        <v>3.7868162692847127</v>
      </c>
      <c r="I934" s="567" t="s">
        <v>288</v>
      </c>
      <c r="J934" s="568" t="s">
        <v>288</v>
      </c>
      <c r="L934" s="373">
        <v>1</v>
      </c>
    </row>
    <row r="935" spans="1:12">
      <c r="A935" s="565">
        <v>930</v>
      </c>
      <c r="B935" s="560" t="s">
        <v>278</v>
      </c>
      <c r="C935" s="560" t="s">
        <v>462</v>
      </c>
      <c r="D935" s="560" t="s">
        <v>292</v>
      </c>
      <c r="E935" s="560">
        <v>125</v>
      </c>
      <c r="F935" s="560">
        <v>2</v>
      </c>
      <c r="G935" s="560" t="s">
        <v>286</v>
      </c>
      <c r="H935" s="566">
        <v>3.5063113604488079</v>
      </c>
      <c r="I935" s="567" t="s">
        <v>288</v>
      </c>
      <c r="J935" s="568" t="s">
        <v>288</v>
      </c>
      <c r="L935" s="373">
        <v>1</v>
      </c>
    </row>
    <row r="936" spans="1:12">
      <c r="A936" s="565">
        <v>931</v>
      </c>
      <c r="B936" s="560" t="s">
        <v>278</v>
      </c>
      <c r="C936" s="560" t="s">
        <v>462</v>
      </c>
      <c r="D936" s="560" t="s">
        <v>291</v>
      </c>
      <c r="E936" s="560">
        <v>95</v>
      </c>
      <c r="F936" s="560">
        <v>3</v>
      </c>
      <c r="G936" s="560" t="s">
        <v>34</v>
      </c>
      <c r="H936" s="566">
        <v>1217.948717948718</v>
      </c>
      <c r="I936" s="567" t="s">
        <v>499</v>
      </c>
      <c r="J936" s="568" t="s">
        <v>288</v>
      </c>
      <c r="L936" s="373">
        <v>1</v>
      </c>
    </row>
    <row r="937" spans="1:12">
      <c r="A937" s="565">
        <v>932</v>
      </c>
      <c r="B937" s="560" t="s">
        <v>278</v>
      </c>
      <c r="C937" s="560" t="s">
        <v>462</v>
      </c>
      <c r="D937" s="560" t="s">
        <v>291</v>
      </c>
      <c r="E937" s="560">
        <v>128</v>
      </c>
      <c r="F937" s="560">
        <v>2</v>
      </c>
      <c r="G937" s="560" t="s">
        <v>34</v>
      </c>
      <c r="H937" s="566">
        <v>1641.0256410256411</v>
      </c>
      <c r="I937" s="567" t="s">
        <v>499</v>
      </c>
      <c r="J937" s="568" t="s">
        <v>288</v>
      </c>
      <c r="L937" s="373">
        <v>1</v>
      </c>
    </row>
    <row r="938" spans="1:12" ht="21">
      <c r="A938" s="565">
        <v>933</v>
      </c>
      <c r="B938" s="560" t="s">
        <v>278</v>
      </c>
      <c r="C938" s="560" t="s">
        <v>462</v>
      </c>
      <c r="D938" s="560" t="s">
        <v>294</v>
      </c>
      <c r="E938" s="560">
        <v>145</v>
      </c>
      <c r="F938" s="560">
        <v>4</v>
      </c>
      <c r="G938" s="560" t="s">
        <v>34</v>
      </c>
      <c r="H938" s="566">
        <v>1858.9743589743589</v>
      </c>
      <c r="I938" s="567" t="s">
        <v>489</v>
      </c>
      <c r="J938" s="568" t="s">
        <v>288</v>
      </c>
      <c r="L938" s="373">
        <v>1</v>
      </c>
    </row>
    <row r="939" spans="1:12" ht="21">
      <c r="A939" s="565">
        <v>934</v>
      </c>
      <c r="B939" s="560" t="s">
        <v>278</v>
      </c>
      <c r="C939" s="560" t="s">
        <v>462</v>
      </c>
      <c r="D939" s="560" t="s">
        <v>291</v>
      </c>
      <c r="E939" s="560">
        <v>112</v>
      </c>
      <c r="F939" s="560">
        <v>3</v>
      </c>
      <c r="G939" s="560" t="s">
        <v>34</v>
      </c>
      <c r="H939" s="566">
        <v>1435.8974358974358</v>
      </c>
      <c r="I939" s="567" t="s">
        <v>489</v>
      </c>
      <c r="J939" s="568" t="s">
        <v>288</v>
      </c>
      <c r="L939" s="373">
        <v>1</v>
      </c>
    </row>
    <row r="940" spans="1:12" ht="21">
      <c r="A940" s="565">
        <v>935</v>
      </c>
      <c r="B940" s="560" t="s">
        <v>278</v>
      </c>
      <c r="C940" s="560" t="s">
        <v>462</v>
      </c>
      <c r="D940" s="560" t="s">
        <v>294</v>
      </c>
      <c r="E940" s="560">
        <v>131</v>
      </c>
      <c r="F940" s="560">
        <v>3</v>
      </c>
      <c r="G940" s="560" t="s">
        <v>34</v>
      </c>
      <c r="H940" s="566">
        <v>1679.4871794871794</v>
      </c>
      <c r="I940" s="567" t="s">
        <v>489</v>
      </c>
      <c r="J940" s="568" t="s">
        <v>288</v>
      </c>
      <c r="L940" s="373">
        <v>1</v>
      </c>
    </row>
    <row r="941" spans="1:12">
      <c r="A941" s="565">
        <v>936</v>
      </c>
      <c r="B941" s="560" t="s">
        <v>278</v>
      </c>
      <c r="C941" s="560" t="s">
        <v>462</v>
      </c>
      <c r="D941" s="560" t="s">
        <v>293</v>
      </c>
      <c r="E941" s="560">
        <v>124</v>
      </c>
      <c r="F941" s="560">
        <v>4</v>
      </c>
      <c r="G941" s="560" t="s">
        <v>34</v>
      </c>
      <c r="H941" s="566">
        <v>1589.7435897435898</v>
      </c>
      <c r="I941" s="567" t="s">
        <v>499</v>
      </c>
      <c r="J941" s="568" t="s">
        <v>288</v>
      </c>
      <c r="L941" s="373">
        <v>1</v>
      </c>
    </row>
    <row r="942" spans="1:12" ht="21">
      <c r="A942" s="565">
        <v>937</v>
      </c>
      <c r="B942" s="560" t="s">
        <v>278</v>
      </c>
      <c r="C942" s="560" t="s">
        <v>462</v>
      </c>
      <c r="D942" s="560" t="s">
        <v>294</v>
      </c>
      <c r="E942" s="560">
        <v>110</v>
      </c>
      <c r="F942" s="560">
        <v>2</v>
      </c>
      <c r="G942" s="560" t="s">
        <v>34</v>
      </c>
      <c r="H942" s="566">
        <v>1410.2564102564102</v>
      </c>
      <c r="I942" s="567" t="s">
        <v>489</v>
      </c>
      <c r="J942" s="568" t="s">
        <v>288</v>
      </c>
      <c r="L942" s="373">
        <v>1</v>
      </c>
    </row>
    <row r="943" spans="1:12" ht="21">
      <c r="A943" s="565">
        <v>938</v>
      </c>
      <c r="B943" s="560" t="s">
        <v>278</v>
      </c>
      <c r="C943" s="560" t="s">
        <v>462</v>
      </c>
      <c r="D943" s="560" t="s">
        <v>293</v>
      </c>
      <c r="E943" s="560">
        <v>115</v>
      </c>
      <c r="F943" s="560">
        <v>3</v>
      </c>
      <c r="G943" s="560" t="s">
        <v>34</v>
      </c>
      <c r="H943" s="566">
        <v>1474.3589743589744</v>
      </c>
      <c r="I943" s="567" t="s">
        <v>489</v>
      </c>
      <c r="J943" s="568" t="s">
        <v>288</v>
      </c>
      <c r="L943" s="373">
        <v>1</v>
      </c>
    </row>
    <row r="944" spans="1:12">
      <c r="A944" s="565">
        <v>939</v>
      </c>
      <c r="B944" s="560" t="s">
        <v>278</v>
      </c>
      <c r="C944" s="560" t="s">
        <v>462</v>
      </c>
      <c r="D944" s="560" t="s">
        <v>291</v>
      </c>
      <c r="E944" s="560">
        <v>145</v>
      </c>
      <c r="F944" s="560">
        <v>3</v>
      </c>
      <c r="G944" s="560" t="s">
        <v>34</v>
      </c>
      <c r="H944" s="566">
        <v>1858.9743589743589</v>
      </c>
      <c r="I944" s="567" t="s">
        <v>499</v>
      </c>
      <c r="J944" s="568" t="s">
        <v>288</v>
      </c>
      <c r="L944" s="373">
        <v>1</v>
      </c>
    </row>
    <row r="945" spans="1:12">
      <c r="A945" s="565">
        <v>940</v>
      </c>
      <c r="B945" s="560" t="s">
        <v>278</v>
      </c>
      <c r="C945" s="560" t="s">
        <v>462</v>
      </c>
      <c r="D945" s="560" t="s">
        <v>291</v>
      </c>
      <c r="E945" s="560">
        <v>139</v>
      </c>
      <c r="F945" s="560">
        <v>5</v>
      </c>
      <c r="G945" s="560" t="s">
        <v>286</v>
      </c>
      <c r="H945" s="566">
        <v>3.8990182328190746</v>
      </c>
      <c r="I945" s="567" t="s">
        <v>499</v>
      </c>
      <c r="J945" s="568" t="s">
        <v>288</v>
      </c>
      <c r="L945" s="373">
        <v>1</v>
      </c>
    </row>
    <row r="946" spans="1:12">
      <c r="A946" s="565">
        <v>941</v>
      </c>
      <c r="B946" s="560" t="s">
        <v>278</v>
      </c>
      <c r="C946" s="560" t="s">
        <v>462</v>
      </c>
      <c r="D946" s="560" t="s">
        <v>291</v>
      </c>
      <c r="E946" s="560">
        <v>122</v>
      </c>
      <c r="F946" s="560">
        <v>4</v>
      </c>
      <c r="G946" s="560" t="s">
        <v>286</v>
      </c>
      <c r="H946" s="566">
        <v>3.4221598877980366</v>
      </c>
      <c r="I946" s="567" t="s">
        <v>288</v>
      </c>
      <c r="J946" s="568" t="s">
        <v>288</v>
      </c>
      <c r="L946" s="373">
        <v>1</v>
      </c>
    </row>
    <row r="947" spans="1:12">
      <c r="A947" s="565">
        <v>942</v>
      </c>
      <c r="B947" s="560" t="s">
        <v>278</v>
      </c>
      <c r="C947" s="560" t="s">
        <v>462</v>
      </c>
      <c r="D947" s="560" t="s">
        <v>292</v>
      </c>
      <c r="E947" s="560">
        <v>90</v>
      </c>
      <c r="F947" s="560">
        <v>2</v>
      </c>
      <c r="G947" s="560" t="s">
        <v>286</v>
      </c>
      <c r="H947" s="566">
        <v>2.5245441795231418</v>
      </c>
      <c r="I947" s="567" t="s">
        <v>464</v>
      </c>
      <c r="J947" s="568" t="s">
        <v>288</v>
      </c>
      <c r="L947" s="373">
        <v>1</v>
      </c>
    </row>
    <row r="948" spans="1:12">
      <c r="A948" s="565">
        <v>943</v>
      </c>
      <c r="B948" s="560" t="s">
        <v>278</v>
      </c>
      <c r="C948" s="560" t="s">
        <v>462</v>
      </c>
      <c r="D948" s="560" t="s">
        <v>292</v>
      </c>
      <c r="E948" s="560">
        <v>90</v>
      </c>
      <c r="F948" s="560">
        <v>3</v>
      </c>
      <c r="G948" s="560" t="s">
        <v>286</v>
      </c>
      <c r="H948" s="566">
        <v>2.5245441795231418</v>
      </c>
      <c r="I948" s="567" t="s">
        <v>464</v>
      </c>
      <c r="J948" s="568" t="s">
        <v>288</v>
      </c>
      <c r="L948" s="373">
        <v>1</v>
      </c>
    </row>
    <row r="949" spans="1:12">
      <c r="A949" s="565">
        <v>944</v>
      </c>
      <c r="B949" s="560" t="s">
        <v>278</v>
      </c>
      <c r="C949" s="560" t="s">
        <v>462</v>
      </c>
      <c r="D949" s="560" t="s">
        <v>291</v>
      </c>
      <c r="E949" s="560">
        <v>121</v>
      </c>
      <c r="F949" s="560">
        <v>4</v>
      </c>
      <c r="G949" s="560" t="s">
        <v>34</v>
      </c>
      <c r="H949" s="566">
        <v>1551.2820512820513</v>
      </c>
      <c r="I949" s="567" t="s">
        <v>499</v>
      </c>
      <c r="J949" s="568" t="s">
        <v>288</v>
      </c>
      <c r="L949" s="373">
        <v>1</v>
      </c>
    </row>
    <row r="950" spans="1:12">
      <c r="A950" s="565">
        <v>945</v>
      </c>
      <c r="B950" s="560" t="s">
        <v>278</v>
      </c>
      <c r="C950" s="560" t="s">
        <v>462</v>
      </c>
      <c r="D950" s="560" t="s">
        <v>291</v>
      </c>
      <c r="E950" s="560">
        <v>115</v>
      </c>
      <c r="F950" s="560">
        <v>2</v>
      </c>
      <c r="G950" s="560" t="s">
        <v>34</v>
      </c>
      <c r="H950" s="566">
        <v>1474.3589743589744</v>
      </c>
      <c r="I950" s="567" t="s">
        <v>464</v>
      </c>
      <c r="J950" s="568" t="s">
        <v>288</v>
      </c>
      <c r="L950" s="373">
        <v>1</v>
      </c>
    </row>
    <row r="951" spans="1:12" ht="21">
      <c r="A951" s="565">
        <v>946</v>
      </c>
      <c r="B951" s="560" t="s">
        <v>278</v>
      </c>
      <c r="C951" s="560" t="s">
        <v>462</v>
      </c>
      <c r="D951" s="560" t="s">
        <v>291</v>
      </c>
      <c r="E951" s="560">
        <v>131</v>
      </c>
      <c r="F951" s="560">
        <v>4</v>
      </c>
      <c r="G951" s="560" t="s">
        <v>34</v>
      </c>
      <c r="H951" s="566">
        <v>1679.4871794871794</v>
      </c>
      <c r="I951" s="567" t="s">
        <v>489</v>
      </c>
      <c r="J951" s="568" t="s">
        <v>288</v>
      </c>
      <c r="L951" s="373">
        <v>1</v>
      </c>
    </row>
    <row r="952" spans="1:12" ht="21">
      <c r="A952" s="565">
        <v>947</v>
      </c>
      <c r="B952" s="560" t="s">
        <v>278</v>
      </c>
      <c r="C952" s="560" t="s">
        <v>462</v>
      </c>
      <c r="D952" s="560" t="s">
        <v>291</v>
      </c>
      <c r="E952" s="560">
        <v>110</v>
      </c>
      <c r="F952" s="560">
        <v>5</v>
      </c>
      <c r="G952" s="560" t="s">
        <v>34</v>
      </c>
      <c r="H952" s="566">
        <v>1410.2564102564102</v>
      </c>
      <c r="I952" s="567" t="s">
        <v>489</v>
      </c>
      <c r="J952" s="568" t="s">
        <v>288</v>
      </c>
      <c r="L952" s="373">
        <v>1</v>
      </c>
    </row>
    <row r="953" spans="1:12" ht="21">
      <c r="A953" s="565">
        <v>948</v>
      </c>
      <c r="B953" s="560" t="s">
        <v>278</v>
      </c>
      <c r="C953" s="560" t="s">
        <v>462</v>
      </c>
      <c r="D953" s="560" t="s">
        <v>291</v>
      </c>
      <c r="E953" s="560">
        <v>110</v>
      </c>
      <c r="F953" s="560">
        <v>4</v>
      </c>
      <c r="G953" s="560" t="s">
        <v>34</v>
      </c>
      <c r="H953" s="566">
        <v>1410.2564102564102</v>
      </c>
      <c r="I953" s="567" t="s">
        <v>489</v>
      </c>
      <c r="J953" s="568" t="s">
        <v>288</v>
      </c>
      <c r="L953" s="373">
        <v>1</v>
      </c>
    </row>
    <row r="954" spans="1:12" ht="21">
      <c r="A954" s="565">
        <v>949</v>
      </c>
      <c r="B954" s="560" t="s">
        <v>278</v>
      </c>
      <c r="C954" s="560" t="s">
        <v>462</v>
      </c>
      <c r="D954" s="560" t="s">
        <v>291</v>
      </c>
      <c r="E954" s="560">
        <v>147</v>
      </c>
      <c r="F954" s="560">
        <v>4</v>
      </c>
      <c r="G954" s="560" t="s">
        <v>34</v>
      </c>
      <c r="H954" s="566">
        <v>1884.6153846153845</v>
      </c>
      <c r="I954" s="567" t="s">
        <v>489</v>
      </c>
      <c r="J954" s="568" t="s">
        <v>288</v>
      </c>
      <c r="L954" s="373">
        <v>1</v>
      </c>
    </row>
    <row r="955" spans="1:12" ht="21">
      <c r="A955" s="565">
        <v>950</v>
      </c>
      <c r="B955" s="560" t="s">
        <v>278</v>
      </c>
      <c r="C955" s="560" t="s">
        <v>462</v>
      </c>
      <c r="D955" s="560" t="s">
        <v>294</v>
      </c>
      <c r="E955" s="560">
        <v>124</v>
      </c>
      <c r="F955" s="560">
        <v>3</v>
      </c>
      <c r="G955" s="560" t="s">
        <v>34</v>
      </c>
      <c r="H955" s="566">
        <v>1589.7435897435898</v>
      </c>
      <c r="I955" s="567" t="s">
        <v>489</v>
      </c>
      <c r="J955" s="568" t="s">
        <v>288</v>
      </c>
      <c r="L955" s="373">
        <v>1</v>
      </c>
    </row>
    <row r="956" spans="1:12" ht="21">
      <c r="A956" s="565">
        <v>951</v>
      </c>
      <c r="B956" s="560" t="s">
        <v>278</v>
      </c>
      <c r="C956" s="560" t="s">
        <v>462</v>
      </c>
      <c r="D956" s="560" t="s">
        <v>294</v>
      </c>
      <c r="E956" s="560">
        <v>143</v>
      </c>
      <c r="F956" s="560">
        <v>3</v>
      </c>
      <c r="G956" s="560" t="s">
        <v>34</v>
      </c>
      <c r="H956" s="566">
        <v>1833.3333333333333</v>
      </c>
      <c r="I956" s="567" t="s">
        <v>489</v>
      </c>
      <c r="J956" s="568" t="s">
        <v>288</v>
      </c>
      <c r="L956" s="373">
        <v>1</v>
      </c>
    </row>
    <row r="957" spans="1:12" ht="21">
      <c r="A957" s="565">
        <v>952</v>
      </c>
      <c r="B957" s="560" t="s">
        <v>278</v>
      </c>
      <c r="C957" s="560" t="s">
        <v>462</v>
      </c>
      <c r="D957" s="560" t="s">
        <v>294</v>
      </c>
      <c r="E957" s="560">
        <v>151</v>
      </c>
      <c r="F957" s="560">
        <v>4</v>
      </c>
      <c r="G957" s="560" t="s">
        <v>34</v>
      </c>
      <c r="H957" s="566">
        <v>1935.8974358974358</v>
      </c>
      <c r="I957" s="567" t="s">
        <v>489</v>
      </c>
      <c r="J957" s="568" t="s">
        <v>288</v>
      </c>
      <c r="L957" s="373">
        <v>1</v>
      </c>
    </row>
    <row r="958" spans="1:12" ht="21">
      <c r="A958" s="565">
        <v>953</v>
      </c>
      <c r="B958" s="560" t="s">
        <v>278</v>
      </c>
      <c r="C958" s="560" t="s">
        <v>462</v>
      </c>
      <c r="D958" s="560" t="s">
        <v>294</v>
      </c>
      <c r="E958" s="560">
        <v>171</v>
      </c>
      <c r="F958" s="560">
        <v>5</v>
      </c>
      <c r="G958" s="560" t="s">
        <v>34</v>
      </c>
      <c r="H958" s="566">
        <v>2192.3076923076924</v>
      </c>
      <c r="I958" s="567" t="s">
        <v>489</v>
      </c>
      <c r="J958" s="568" t="s">
        <v>288</v>
      </c>
      <c r="L958" s="373">
        <v>1</v>
      </c>
    </row>
    <row r="959" spans="1:12" ht="21">
      <c r="A959" s="565">
        <v>954</v>
      </c>
      <c r="B959" s="560" t="s">
        <v>278</v>
      </c>
      <c r="C959" s="560" t="s">
        <v>462</v>
      </c>
      <c r="D959" s="560" t="s">
        <v>291</v>
      </c>
      <c r="E959" s="560">
        <v>129</v>
      </c>
      <c r="F959" s="560">
        <v>4</v>
      </c>
      <c r="G959" s="560" t="s">
        <v>34</v>
      </c>
      <c r="H959" s="566">
        <v>1653.8461538461538</v>
      </c>
      <c r="I959" s="567" t="s">
        <v>489</v>
      </c>
      <c r="J959" s="568" t="s">
        <v>288</v>
      </c>
      <c r="L959" s="373">
        <v>1</v>
      </c>
    </row>
    <row r="960" spans="1:12">
      <c r="A960" s="565">
        <v>955</v>
      </c>
      <c r="B960" s="560" t="s">
        <v>278</v>
      </c>
      <c r="C960" s="560" t="s">
        <v>462</v>
      </c>
      <c r="D960" s="560" t="s">
        <v>291</v>
      </c>
      <c r="E960" s="560">
        <v>101</v>
      </c>
      <c r="F960" s="560">
        <v>3</v>
      </c>
      <c r="G960" s="560" t="s">
        <v>34</v>
      </c>
      <c r="H960" s="566">
        <v>1294.8717948717949</v>
      </c>
      <c r="I960" s="567" t="s">
        <v>499</v>
      </c>
      <c r="J960" s="568" t="s">
        <v>288</v>
      </c>
      <c r="L960" s="373">
        <v>1</v>
      </c>
    </row>
    <row r="961" spans="1:12">
      <c r="A961" s="565">
        <v>956</v>
      </c>
      <c r="B961" s="560" t="s">
        <v>278</v>
      </c>
      <c r="C961" s="560" t="s">
        <v>462</v>
      </c>
      <c r="D961" s="560" t="s">
        <v>291</v>
      </c>
      <c r="E961" s="560">
        <v>162</v>
      </c>
      <c r="F961" s="560">
        <v>4</v>
      </c>
      <c r="G961" s="560" t="s">
        <v>34</v>
      </c>
      <c r="H961" s="566">
        <v>2076.9230769230771</v>
      </c>
      <c r="I961" s="567" t="s">
        <v>499</v>
      </c>
      <c r="J961" s="568" t="s">
        <v>288</v>
      </c>
      <c r="L961" s="373">
        <v>1</v>
      </c>
    </row>
    <row r="962" spans="1:12">
      <c r="A962" s="565">
        <v>957</v>
      </c>
      <c r="B962" s="560" t="s">
        <v>278</v>
      </c>
      <c r="C962" s="560" t="s">
        <v>462</v>
      </c>
      <c r="D962" s="560" t="s">
        <v>291</v>
      </c>
      <c r="E962" s="560">
        <v>158</v>
      </c>
      <c r="F962" s="560">
        <v>5</v>
      </c>
      <c r="G962" s="560" t="s">
        <v>34</v>
      </c>
      <c r="H962" s="566">
        <v>2025.6410256410256</v>
      </c>
      <c r="I962" s="567" t="s">
        <v>499</v>
      </c>
      <c r="J962" s="568" t="s">
        <v>288</v>
      </c>
      <c r="L962" s="373">
        <v>1</v>
      </c>
    </row>
    <row r="963" spans="1:12">
      <c r="A963" s="565">
        <v>958</v>
      </c>
      <c r="B963" s="560" t="s">
        <v>278</v>
      </c>
      <c r="C963" s="560" t="s">
        <v>462</v>
      </c>
      <c r="D963" s="560" t="s">
        <v>292</v>
      </c>
      <c r="E963" s="560">
        <v>112</v>
      </c>
      <c r="F963" s="560">
        <v>2</v>
      </c>
      <c r="G963" s="560" t="s">
        <v>34</v>
      </c>
      <c r="H963" s="566">
        <v>1435.8974358974358</v>
      </c>
      <c r="I963" s="567" t="s">
        <v>499</v>
      </c>
      <c r="J963" s="568" t="s">
        <v>288</v>
      </c>
      <c r="L963" s="373">
        <v>1</v>
      </c>
    </row>
    <row r="964" spans="1:12">
      <c r="A964" s="565">
        <v>959</v>
      </c>
      <c r="B964" s="560" t="s">
        <v>278</v>
      </c>
      <c r="C964" s="560" t="s">
        <v>462</v>
      </c>
      <c r="D964" s="560" t="s">
        <v>291</v>
      </c>
      <c r="E964" s="560">
        <v>131</v>
      </c>
      <c r="F964" s="560">
        <v>4</v>
      </c>
      <c r="G964" s="560" t="s">
        <v>34</v>
      </c>
      <c r="H964" s="566">
        <v>1679.4871794871794</v>
      </c>
      <c r="I964" s="567" t="s">
        <v>499</v>
      </c>
      <c r="J964" s="568" t="s">
        <v>288</v>
      </c>
      <c r="L964" s="373">
        <v>1</v>
      </c>
    </row>
    <row r="965" spans="1:12" ht="21">
      <c r="A965" s="565">
        <v>960</v>
      </c>
      <c r="B965" s="560" t="s">
        <v>278</v>
      </c>
      <c r="C965" s="560" t="s">
        <v>462</v>
      </c>
      <c r="D965" s="560" t="s">
        <v>294</v>
      </c>
      <c r="E965" s="560">
        <v>173</v>
      </c>
      <c r="F965" s="560">
        <v>5</v>
      </c>
      <c r="G965" s="560" t="s">
        <v>34</v>
      </c>
      <c r="H965" s="566">
        <v>2217.9487179487178</v>
      </c>
      <c r="I965" s="567" t="s">
        <v>489</v>
      </c>
      <c r="J965" s="568" t="s">
        <v>288</v>
      </c>
      <c r="L965" s="373">
        <v>1</v>
      </c>
    </row>
    <row r="966" spans="1:12" ht="21">
      <c r="A966" s="565">
        <v>961</v>
      </c>
      <c r="B966" s="560" t="s">
        <v>278</v>
      </c>
      <c r="C966" s="560" t="s">
        <v>462</v>
      </c>
      <c r="D966" s="560" t="s">
        <v>294</v>
      </c>
      <c r="E966" s="560">
        <v>160</v>
      </c>
      <c r="F966" s="560">
        <v>4</v>
      </c>
      <c r="G966" s="560" t="s">
        <v>34</v>
      </c>
      <c r="H966" s="566">
        <v>2051.2820512820513</v>
      </c>
      <c r="I966" s="567" t="s">
        <v>489</v>
      </c>
      <c r="J966" s="568" t="s">
        <v>288</v>
      </c>
      <c r="L966" s="373">
        <v>1</v>
      </c>
    </row>
    <row r="967" spans="1:12" ht="21">
      <c r="A967" s="565">
        <v>962</v>
      </c>
      <c r="B967" s="560" t="s">
        <v>278</v>
      </c>
      <c r="C967" s="560" t="s">
        <v>462</v>
      </c>
      <c r="D967" s="560" t="s">
        <v>294</v>
      </c>
      <c r="E967" s="560">
        <v>143</v>
      </c>
      <c r="F967" s="560">
        <v>3</v>
      </c>
      <c r="G967" s="560" t="s">
        <v>34</v>
      </c>
      <c r="H967" s="566">
        <v>1833.3333333333333</v>
      </c>
      <c r="I967" s="567" t="s">
        <v>489</v>
      </c>
      <c r="J967" s="568" t="s">
        <v>288</v>
      </c>
      <c r="L967" s="373">
        <v>1</v>
      </c>
    </row>
    <row r="968" spans="1:12" ht="21">
      <c r="A968" s="565">
        <v>963</v>
      </c>
      <c r="B968" s="560" t="s">
        <v>278</v>
      </c>
      <c r="C968" s="560" t="s">
        <v>462</v>
      </c>
      <c r="D968" s="560" t="s">
        <v>294</v>
      </c>
      <c r="E968" s="560">
        <v>163</v>
      </c>
      <c r="F968" s="560">
        <v>4</v>
      </c>
      <c r="G968" s="560" t="s">
        <v>34</v>
      </c>
      <c r="H968" s="566">
        <v>2089.7435897435898</v>
      </c>
      <c r="I968" s="567" t="s">
        <v>489</v>
      </c>
      <c r="J968" s="568" t="s">
        <v>288</v>
      </c>
      <c r="L968" s="373">
        <v>1</v>
      </c>
    </row>
    <row r="969" spans="1:12">
      <c r="A969" s="565">
        <v>964</v>
      </c>
      <c r="B969" s="560" t="s">
        <v>278</v>
      </c>
      <c r="C969" s="560" t="s">
        <v>462</v>
      </c>
      <c r="D969" s="560" t="s">
        <v>292</v>
      </c>
      <c r="E969" s="560">
        <v>127</v>
      </c>
      <c r="F969" s="560">
        <v>4</v>
      </c>
      <c r="G969" s="560" t="s">
        <v>286</v>
      </c>
      <c r="H969" s="566">
        <v>3.562412342215989</v>
      </c>
      <c r="I969" s="567" t="s">
        <v>288</v>
      </c>
      <c r="J969" s="568" t="s">
        <v>288</v>
      </c>
      <c r="L969" s="373">
        <v>1</v>
      </c>
    </row>
    <row r="970" spans="1:12">
      <c r="A970" s="565">
        <v>965</v>
      </c>
      <c r="B970" s="560" t="s">
        <v>278</v>
      </c>
      <c r="C970" s="560" t="s">
        <v>462</v>
      </c>
      <c r="D970" s="560" t="s">
        <v>292</v>
      </c>
      <c r="E970" s="560">
        <v>138</v>
      </c>
      <c r="F970" s="560">
        <v>5</v>
      </c>
      <c r="G970" s="560" t="s">
        <v>286</v>
      </c>
      <c r="H970" s="566">
        <v>3.870967741935484</v>
      </c>
      <c r="I970" s="567" t="s">
        <v>288</v>
      </c>
      <c r="J970" s="568" t="s">
        <v>288</v>
      </c>
      <c r="L970" s="373">
        <v>1</v>
      </c>
    </row>
    <row r="971" spans="1:12" ht="21">
      <c r="A971" s="565">
        <v>966</v>
      </c>
      <c r="B971" s="560" t="s">
        <v>278</v>
      </c>
      <c r="C971" s="560" t="s">
        <v>462</v>
      </c>
      <c r="D971" s="560" t="s">
        <v>291</v>
      </c>
      <c r="E971" s="560">
        <v>147</v>
      </c>
      <c r="F971" s="560">
        <v>4</v>
      </c>
      <c r="G971" s="560" t="s">
        <v>34</v>
      </c>
      <c r="H971" s="566">
        <v>1884.6153846153845</v>
      </c>
      <c r="I971" s="567" t="s">
        <v>489</v>
      </c>
      <c r="J971" s="568" t="s">
        <v>288</v>
      </c>
      <c r="L971" s="373">
        <v>1</v>
      </c>
    </row>
    <row r="972" spans="1:12" ht="21">
      <c r="A972" s="565">
        <v>967</v>
      </c>
      <c r="B972" s="560" t="s">
        <v>278</v>
      </c>
      <c r="C972" s="560" t="s">
        <v>462</v>
      </c>
      <c r="D972" s="560" t="s">
        <v>294</v>
      </c>
      <c r="E972" s="560">
        <v>128</v>
      </c>
      <c r="F972" s="560">
        <v>3</v>
      </c>
      <c r="G972" s="560" t="s">
        <v>34</v>
      </c>
      <c r="H972" s="566">
        <v>1641.0256410256411</v>
      </c>
      <c r="I972" s="567" t="s">
        <v>489</v>
      </c>
      <c r="J972" s="568" t="s">
        <v>288</v>
      </c>
      <c r="L972" s="373">
        <v>1</v>
      </c>
    </row>
    <row r="973" spans="1:12" ht="21">
      <c r="A973" s="565">
        <v>968</v>
      </c>
      <c r="B973" s="560" t="s">
        <v>278</v>
      </c>
      <c r="C973" s="560" t="s">
        <v>462</v>
      </c>
      <c r="D973" s="560" t="s">
        <v>294</v>
      </c>
      <c r="E973" s="560">
        <v>168</v>
      </c>
      <c r="F973" s="560">
        <v>5</v>
      </c>
      <c r="G973" s="560" t="s">
        <v>34</v>
      </c>
      <c r="H973" s="566">
        <v>2153.8461538461538</v>
      </c>
      <c r="I973" s="567" t="s">
        <v>489</v>
      </c>
      <c r="J973" s="568" t="s">
        <v>474</v>
      </c>
      <c r="L973" s="373">
        <v>1</v>
      </c>
    </row>
    <row r="974" spans="1:12">
      <c r="A974" s="565">
        <v>969</v>
      </c>
      <c r="B974" s="560" t="s">
        <v>278</v>
      </c>
      <c r="C974" s="560" t="s">
        <v>462</v>
      </c>
      <c r="D974" s="560" t="s">
        <v>291</v>
      </c>
      <c r="E974" s="560">
        <v>119</v>
      </c>
      <c r="F974" s="560">
        <v>5</v>
      </c>
      <c r="G974" s="560" t="s">
        <v>34</v>
      </c>
      <c r="H974" s="566">
        <v>1525.6410256410256</v>
      </c>
      <c r="I974" s="567" t="s">
        <v>499</v>
      </c>
      <c r="J974" s="568" t="s">
        <v>288</v>
      </c>
      <c r="L974" s="373">
        <v>1</v>
      </c>
    </row>
    <row r="975" spans="1:12">
      <c r="A975" s="565">
        <v>970</v>
      </c>
      <c r="B975" s="560" t="s">
        <v>278</v>
      </c>
      <c r="C975" s="560" t="s">
        <v>462</v>
      </c>
      <c r="D975" s="560" t="s">
        <v>291</v>
      </c>
      <c r="E975" s="560">
        <v>119</v>
      </c>
      <c r="F975" s="560">
        <v>4</v>
      </c>
      <c r="G975" s="560" t="s">
        <v>34</v>
      </c>
      <c r="H975" s="566">
        <v>1525.6410256410256</v>
      </c>
      <c r="I975" s="567" t="s">
        <v>499</v>
      </c>
      <c r="J975" s="568" t="s">
        <v>288</v>
      </c>
      <c r="L975" s="373">
        <v>1</v>
      </c>
    </row>
    <row r="976" spans="1:12" ht="21">
      <c r="A976" s="565">
        <v>971</v>
      </c>
      <c r="B976" s="560" t="s">
        <v>278</v>
      </c>
      <c r="C976" s="560" t="s">
        <v>462</v>
      </c>
      <c r="D976" s="560" t="s">
        <v>294</v>
      </c>
      <c r="E976" s="560">
        <v>162</v>
      </c>
      <c r="F976" s="560">
        <v>5</v>
      </c>
      <c r="G976" s="560" t="s">
        <v>34</v>
      </c>
      <c r="H976" s="566">
        <v>2076.9230769230771</v>
      </c>
      <c r="I976" s="567" t="s">
        <v>489</v>
      </c>
      <c r="J976" s="568" t="s">
        <v>505</v>
      </c>
      <c r="L976" s="373">
        <v>1</v>
      </c>
    </row>
    <row r="977" spans="1:12">
      <c r="A977" s="565">
        <v>972</v>
      </c>
      <c r="B977" s="560" t="s">
        <v>278</v>
      </c>
      <c r="C977" s="560" t="s">
        <v>462</v>
      </c>
      <c r="D977" s="560" t="s">
        <v>291</v>
      </c>
      <c r="E977" s="560">
        <v>131</v>
      </c>
      <c r="F977" s="560">
        <v>3</v>
      </c>
      <c r="G977" s="560" t="s">
        <v>286</v>
      </c>
      <c r="H977" s="566">
        <v>3.6746143057503509</v>
      </c>
      <c r="I977" s="567" t="s">
        <v>464</v>
      </c>
      <c r="J977" s="568" t="s">
        <v>288</v>
      </c>
      <c r="L977" s="373">
        <v>1</v>
      </c>
    </row>
    <row r="978" spans="1:12" ht="21">
      <c r="A978" s="565">
        <v>973</v>
      </c>
      <c r="B978" s="560" t="s">
        <v>278</v>
      </c>
      <c r="C978" s="560" t="s">
        <v>462</v>
      </c>
      <c r="D978" s="560" t="s">
        <v>294</v>
      </c>
      <c r="E978" s="560">
        <v>157</v>
      </c>
      <c r="F978" s="560">
        <v>4</v>
      </c>
      <c r="G978" s="560" t="s">
        <v>287</v>
      </c>
      <c r="H978" s="566">
        <v>31400</v>
      </c>
      <c r="I978" s="567" t="s">
        <v>489</v>
      </c>
      <c r="J978" s="568" t="s">
        <v>288</v>
      </c>
      <c r="L978" s="373">
        <v>1</v>
      </c>
    </row>
    <row r="979" spans="1:12" ht="21">
      <c r="A979" s="565">
        <v>974</v>
      </c>
      <c r="B979" s="560" t="s">
        <v>278</v>
      </c>
      <c r="C979" s="560" t="s">
        <v>462</v>
      </c>
      <c r="D979" s="560" t="s">
        <v>294</v>
      </c>
      <c r="E979" s="560">
        <v>151</v>
      </c>
      <c r="F979" s="560">
        <v>5</v>
      </c>
      <c r="G979" s="560" t="s">
        <v>34</v>
      </c>
      <c r="H979" s="566">
        <v>1935.8974358974358</v>
      </c>
      <c r="I979" s="567" t="s">
        <v>489</v>
      </c>
      <c r="J979" s="568" t="s">
        <v>474</v>
      </c>
      <c r="L979" s="373">
        <v>1</v>
      </c>
    </row>
    <row r="980" spans="1:12" ht="21">
      <c r="A980" s="565">
        <v>975</v>
      </c>
      <c r="B980" s="560" t="s">
        <v>278</v>
      </c>
      <c r="C980" s="560" t="s">
        <v>462</v>
      </c>
      <c r="D980" s="560" t="s">
        <v>294</v>
      </c>
      <c r="E980" s="560">
        <v>121</v>
      </c>
      <c r="F980" s="560">
        <v>4</v>
      </c>
      <c r="G980" s="560" t="s">
        <v>34</v>
      </c>
      <c r="H980" s="566">
        <v>1551.2820512820513</v>
      </c>
      <c r="I980" s="567" t="s">
        <v>489</v>
      </c>
      <c r="J980" s="568" t="s">
        <v>288</v>
      </c>
      <c r="L980" s="373">
        <v>1</v>
      </c>
    </row>
    <row r="981" spans="1:12" ht="21">
      <c r="A981" s="565">
        <v>976</v>
      </c>
      <c r="B981" s="560" t="s">
        <v>278</v>
      </c>
      <c r="C981" s="560" t="s">
        <v>462</v>
      </c>
      <c r="D981" s="560" t="s">
        <v>294</v>
      </c>
      <c r="E981" s="560">
        <v>119</v>
      </c>
      <c r="F981" s="560">
        <v>3</v>
      </c>
      <c r="G981" s="560" t="s">
        <v>34</v>
      </c>
      <c r="H981" s="566">
        <v>1525.6410256410256</v>
      </c>
      <c r="I981" s="567" t="s">
        <v>489</v>
      </c>
      <c r="J981" s="568" t="s">
        <v>501</v>
      </c>
      <c r="L981" s="373">
        <v>1</v>
      </c>
    </row>
    <row r="982" spans="1:12" ht="21">
      <c r="A982" s="565">
        <v>977</v>
      </c>
      <c r="B982" s="560" t="s">
        <v>278</v>
      </c>
      <c r="C982" s="560" t="s">
        <v>462</v>
      </c>
      <c r="D982" s="560" t="s">
        <v>294</v>
      </c>
      <c r="E982" s="560">
        <v>149</v>
      </c>
      <c r="F982" s="560">
        <v>3</v>
      </c>
      <c r="G982" s="560" t="s">
        <v>34</v>
      </c>
      <c r="H982" s="566">
        <v>1910.2564102564102</v>
      </c>
      <c r="I982" s="567" t="s">
        <v>489</v>
      </c>
      <c r="J982" s="568" t="s">
        <v>288</v>
      </c>
      <c r="L982" s="373">
        <v>1</v>
      </c>
    </row>
    <row r="983" spans="1:12" ht="21">
      <c r="A983" s="565">
        <v>978</v>
      </c>
      <c r="B983" s="560" t="s">
        <v>278</v>
      </c>
      <c r="C983" s="560" t="s">
        <v>462</v>
      </c>
      <c r="D983" s="560" t="s">
        <v>294</v>
      </c>
      <c r="E983" s="560">
        <v>159</v>
      </c>
      <c r="F983" s="560">
        <v>4</v>
      </c>
      <c r="G983" s="560" t="s">
        <v>34</v>
      </c>
      <c r="H983" s="566">
        <v>2038.4615384615386</v>
      </c>
      <c r="I983" s="567" t="s">
        <v>489</v>
      </c>
      <c r="J983" s="568" t="s">
        <v>501</v>
      </c>
      <c r="L983" s="373">
        <v>1</v>
      </c>
    </row>
    <row r="984" spans="1:12" ht="21">
      <c r="A984" s="565">
        <v>979</v>
      </c>
      <c r="B984" s="560" t="s">
        <v>278</v>
      </c>
      <c r="C984" s="560" t="s">
        <v>462</v>
      </c>
      <c r="D984" s="560" t="s">
        <v>291</v>
      </c>
      <c r="E984" s="560">
        <v>121</v>
      </c>
      <c r="F984" s="560">
        <v>5</v>
      </c>
      <c r="G984" s="560" t="s">
        <v>34</v>
      </c>
      <c r="H984" s="566">
        <v>1551.2820512820513</v>
      </c>
      <c r="I984" s="567" t="s">
        <v>489</v>
      </c>
      <c r="J984" s="568" t="s">
        <v>288</v>
      </c>
      <c r="L984" s="373">
        <v>1</v>
      </c>
    </row>
    <row r="985" spans="1:12" ht="21">
      <c r="A985" s="565">
        <v>980</v>
      </c>
      <c r="B985" s="560" t="s">
        <v>278</v>
      </c>
      <c r="C985" s="560" t="s">
        <v>462</v>
      </c>
      <c r="D985" s="560" t="s">
        <v>291</v>
      </c>
      <c r="E985" s="560">
        <v>117</v>
      </c>
      <c r="F985" s="560">
        <v>3</v>
      </c>
      <c r="G985" s="560" t="s">
        <v>34</v>
      </c>
      <c r="H985" s="566">
        <v>1500</v>
      </c>
      <c r="I985" s="567" t="s">
        <v>489</v>
      </c>
      <c r="J985" s="568" t="s">
        <v>288</v>
      </c>
      <c r="L985" s="373">
        <v>1</v>
      </c>
    </row>
    <row r="986" spans="1:12" ht="21">
      <c r="A986" s="565">
        <v>981</v>
      </c>
      <c r="B986" s="560" t="s">
        <v>278</v>
      </c>
      <c r="C986" s="560" t="s">
        <v>462</v>
      </c>
      <c r="D986" s="560" t="s">
        <v>294</v>
      </c>
      <c r="E986" s="560">
        <v>132</v>
      </c>
      <c r="F986" s="560">
        <v>4</v>
      </c>
      <c r="G986" s="560" t="s">
        <v>287</v>
      </c>
      <c r="H986" s="566">
        <v>26400</v>
      </c>
      <c r="I986" s="567" t="s">
        <v>489</v>
      </c>
      <c r="J986" s="568" t="s">
        <v>474</v>
      </c>
      <c r="L986" s="373">
        <v>1</v>
      </c>
    </row>
    <row r="987" spans="1:12">
      <c r="A987" s="565">
        <v>982</v>
      </c>
      <c r="B987" s="560" t="s">
        <v>278</v>
      </c>
      <c r="C987" s="560" t="s">
        <v>462</v>
      </c>
      <c r="D987" s="560" t="s">
        <v>292</v>
      </c>
      <c r="E987" s="560">
        <v>121</v>
      </c>
      <c r="F987" s="560">
        <v>3</v>
      </c>
      <c r="G987" s="560" t="s">
        <v>286</v>
      </c>
      <c r="H987" s="566">
        <v>3.394109396914446</v>
      </c>
      <c r="I987" s="567" t="s">
        <v>288</v>
      </c>
      <c r="J987" s="568" t="s">
        <v>288</v>
      </c>
      <c r="L987" s="373">
        <v>1</v>
      </c>
    </row>
    <row r="988" spans="1:12">
      <c r="A988" s="565">
        <v>983</v>
      </c>
      <c r="B988" s="560" t="s">
        <v>278</v>
      </c>
      <c r="C988" s="560" t="s">
        <v>462</v>
      </c>
      <c r="D988" s="560" t="s">
        <v>291</v>
      </c>
      <c r="E988" s="560">
        <v>153</v>
      </c>
      <c r="F988" s="560">
        <v>5</v>
      </c>
      <c r="G988" s="560" t="s">
        <v>34</v>
      </c>
      <c r="H988" s="566">
        <v>1961.5384615384614</v>
      </c>
      <c r="I988" s="567" t="s">
        <v>464</v>
      </c>
      <c r="J988" s="568" t="s">
        <v>288</v>
      </c>
      <c r="L988" s="373">
        <v>1</v>
      </c>
    </row>
    <row r="989" spans="1:12" ht="21">
      <c r="A989" s="565">
        <v>984</v>
      </c>
      <c r="B989" s="560" t="s">
        <v>278</v>
      </c>
      <c r="C989" s="560" t="s">
        <v>462</v>
      </c>
      <c r="D989" s="560" t="s">
        <v>293</v>
      </c>
      <c r="E989" s="560">
        <v>132</v>
      </c>
      <c r="F989" s="560">
        <v>2</v>
      </c>
      <c r="G989" s="560" t="s">
        <v>34</v>
      </c>
      <c r="H989" s="566">
        <v>1692.3076923076924</v>
      </c>
      <c r="I989" s="567" t="s">
        <v>489</v>
      </c>
      <c r="J989" s="568" t="s">
        <v>288</v>
      </c>
      <c r="L989" s="373">
        <v>1</v>
      </c>
    </row>
    <row r="990" spans="1:12">
      <c r="A990" s="565">
        <v>985</v>
      </c>
      <c r="B990" s="560" t="s">
        <v>278</v>
      </c>
      <c r="C990" s="560" t="s">
        <v>462</v>
      </c>
      <c r="D990" s="560" t="s">
        <v>291</v>
      </c>
      <c r="E990" s="560">
        <v>101</v>
      </c>
      <c r="F990" s="560">
        <v>3</v>
      </c>
      <c r="G990" s="560" t="s">
        <v>34</v>
      </c>
      <c r="H990" s="566">
        <v>1294.8717948717949</v>
      </c>
      <c r="I990" s="567" t="s">
        <v>499</v>
      </c>
      <c r="J990" s="568" t="s">
        <v>288</v>
      </c>
      <c r="L990" s="373">
        <v>1</v>
      </c>
    </row>
    <row r="991" spans="1:12" ht="21">
      <c r="A991" s="565">
        <v>986</v>
      </c>
      <c r="B991" s="560" t="s">
        <v>278</v>
      </c>
      <c r="C991" s="560" t="s">
        <v>462</v>
      </c>
      <c r="D991" s="561" t="s">
        <v>291</v>
      </c>
      <c r="E991" s="560">
        <v>117</v>
      </c>
      <c r="F991" s="560">
        <v>3</v>
      </c>
      <c r="G991" s="560" t="s">
        <v>34</v>
      </c>
      <c r="H991" s="566">
        <v>1500</v>
      </c>
      <c r="I991" s="567" t="s">
        <v>288</v>
      </c>
      <c r="J991" s="568" t="s">
        <v>506</v>
      </c>
      <c r="L991" s="373">
        <v>1</v>
      </c>
    </row>
    <row r="992" spans="1:12" ht="21">
      <c r="A992" s="565">
        <v>987</v>
      </c>
      <c r="B992" s="560" t="s">
        <v>278</v>
      </c>
      <c r="C992" s="560" t="s">
        <v>462</v>
      </c>
      <c r="D992" s="560" t="s">
        <v>291</v>
      </c>
      <c r="E992" s="560">
        <v>116</v>
      </c>
      <c r="F992" s="560">
        <v>4</v>
      </c>
      <c r="G992" s="560" t="s">
        <v>34</v>
      </c>
      <c r="H992" s="566">
        <v>1487.1794871794871</v>
      </c>
      <c r="I992" s="567" t="s">
        <v>489</v>
      </c>
      <c r="J992" s="568" t="s">
        <v>288</v>
      </c>
      <c r="L992" s="373">
        <v>1</v>
      </c>
    </row>
    <row r="993" spans="1:12" ht="21">
      <c r="A993" s="565">
        <v>988</v>
      </c>
      <c r="B993" s="560" t="s">
        <v>278</v>
      </c>
      <c r="C993" s="560" t="s">
        <v>462</v>
      </c>
      <c r="D993" s="560" t="s">
        <v>294</v>
      </c>
      <c r="E993" s="560">
        <v>146</v>
      </c>
      <c r="F993" s="560">
        <v>4</v>
      </c>
      <c r="G993" s="560" t="s">
        <v>34</v>
      </c>
      <c r="H993" s="566">
        <v>1871.7948717948718</v>
      </c>
      <c r="I993" s="567" t="s">
        <v>489</v>
      </c>
      <c r="J993" s="568" t="s">
        <v>288</v>
      </c>
      <c r="L993" s="373">
        <v>1</v>
      </c>
    </row>
    <row r="994" spans="1:12" ht="21">
      <c r="A994" s="565">
        <v>989</v>
      </c>
      <c r="B994" s="560" t="s">
        <v>278</v>
      </c>
      <c r="C994" s="560" t="s">
        <v>462</v>
      </c>
      <c r="D994" s="560" t="s">
        <v>294</v>
      </c>
      <c r="E994" s="560">
        <v>132</v>
      </c>
      <c r="F994" s="560">
        <v>3</v>
      </c>
      <c r="G994" s="560" t="s">
        <v>34</v>
      </c>
      <c r="H994" s="566">
        <v>1692.3076923076924</v>
      </c>
      <c r="I994" s="567" t="s">
        <v>489</v>
      </c>
      <c r="J994" s="568" t="s">
        <v>288</v>
      </c>
      <c r="L994" s="373">
        <v>1</v>
      </c>
    </row>
    <row r="995" spans="1:12" ht="21">
      <c r="A995" s="565">
        <v>990</v>
      </c>
      <c r="B995" s="560" t="s">
        <v>278</v>
      </c>
      <c r="C995" s="560" t="s">
        <v>462</v>
      </c>
      <c r="D995" s="560" t="s">
        <v>291</v>
      </c>
      <c r="E995" s="560">
        <v>121</v>
      </c>
      <c r="F995" s="560">
        <v>5</v>
      </c>
      <c r="G995" s="560" t="s">
        <v>286</v>
      </c>
      <c r="H995" s="566">
        <v>3.394109396914446</v>
      </c>
      <c r="I995" s="567" t="s">
        <v>464</v>
      </c>
      <c r="J995" s="568" t="s">
        <v>506</v>
      </c>
      <c r="L995" s="373">
        <v>1</v>
      </c>
    </row>
    <row r="996" spans="1:12" ht="21">
      <c r="A996" s="565">
        <v>991</v>
      </c>
      <c r="B996" s="560" t="s">
        <v>278</v>
      </c>
      <c r="C996" s="560" t="s">
        <v>462</v>
      </c>
      <c r="D996" s="560" t="s">
        <v>291</v>
      </c>
      <c r="E996" s="560">
        <v>119</v>
      </c>
      <c r="F996" s="560">
        <v>5</v>
      </c>
      <c r="G996" s="560" t="s">
        <v>286</v>
      </c>
      <c r="H996" s="566">
        <v>3.3380084151472653</v>
      </c>
      <c r="I996" s="567" t="s">
        <v>464</v>
      </c>
      <c r="J996" s="568" t="s">
        <v>506</v>
      </c>
      <c r="L996" s="373">
        <v>1</v>
      </c>
    </row>
    <row r="997" spans="1:12" ht="21">
      <c r="A997" s="565">
        <v>992</v>
      </c>
      <c r="B997" s="560" t="s">
        <v>278</v>
      </c>
      <c r="C997" s="560" t="s">
        <v>462</v>
      </c>
      <c r="D997" s="560" t="s">
        <v>294</v>
      </c>
      <c r="E997" s="560">
        <v>131</v>
      </c>
      <c r="F997" s="560">
        <v>3</v>
      </c>
      <c r="G997" s="560" t="s">
        <v>34</v>
      </c>
      <c r="H997" s="566">
        <v>1679.4871794871794</v>
      </c>
      <c r="I997" s="567" t="s">
        <v>489</v>
      </c>
      <c r="J997" s="568" t="s">
        <v>288</v>
      </c>
      <c r="L997" s="373">
        <v>1</v>
      </c>
    </row>
    <row r="998" spans="1:12" ht="21">
      <c r="A998" s="565">
        <v>993</v>
      </c>
      <c r="B998" s="560" t="s">
        <v>278</v>
      </c>
      <c r="C998" s="560" t="s">
        <v>462</v>
      </c>
      <c r="D998" s="560" t="s">
        <v>293</v>
      </c>
      <c r="E998" s="560">
        <v>152</v>
      </c>
      <c r="F998" s="560">
        <v>4</v>
      </c>
      <c r="G998" s="560" t="s">
        <v>34</v>
      </c>
      <c r="H998" s="566">
        <v>1948.7179487179487</v>
      </c>
      <c r="I998" s="567" t="s">
        <v>489</v>
      </c>
      <c r="J998" s="568" t="s">
        <v>288</v>
      </c>
      <c r="L998" s="373">
        <v>1</v>
      </c>
    </row>
    <row r="999" spans="1:12" ht="21">
      <c r="A999" s="565">
        <v>994</v>
      </c>
      <c r="B999" s="560" t="s">
        <v>278</v>
      </c>
      <c r="C999" s="560" t="s">
        <v>462</v>
      </c>
      <c r="D999" s="560" t="s">
        <v>291</v>
      </c>
      <c r="E999" s="560">
        <v>118</v>
      </c>
      <c r="F999" s="560">
        <v>3</v>
      </c>
      <c r="G999" s="560" t="s">
        <v>286</v>
      </c>
      <c r="H999" s="566">
        <v>3.3099579242636747</v>
      </c>
      <c r="I999" s="567" t="s">
        <v>489</v>
      </c>
      <c r="J999" s="568" t="s">
        <v>288</v>
      </c>
      <c r="L999" s="373">
        <v>1</v>
      </c>
    </row>
    <row r="1000" spans="1:12" ht="21">
      <c r="A1000" s="565">
        <v>995</v>
      </c>
      <c r="B1000" s="560" t="s">
        <v>278</v>
      </c>
      <c r="C1000" s="560" t="s">
        <v>462</v>
      </c>
      <c r="D1000" s="560" t="s">
        <v>291</v>
      </c>
      <c r="E1000" s="560">
        <v>147</v>
      </c>
      <c r="F1000" s="560">
        <v>5</v>
      </c>
      <c r="G1000" s="560" t="s">
        <v>286</v>
      </c>
      <c r="H1000" s="566">
        <v>4.1234221598877978</v>
      </c>
      <c r="I1000" s="567" t="s">
        <v>489</v>
      </c>
      <c r="J1000" s="568" t="s">
        <v>288</v>
      </c>
      <c r="L1000" s="373">
        <v>1</v>
      </c>
    </row>
    <row r="1001" spans="1:12">
      <c r="A1001" s="565">
        <v>996</v>
      </c>
      <c r="B1001" s="560" t="s">
        <v>278</v>
      </c>
      <c r="C1001" s="560" t="s">
        <v>462</v>
      </c>
      <c r="D1001" s="560" t="s">
        <v>291</v>
      </c>
      <c r="E1001" s="560">
        <v>183</v>
      </c>
      <c r="F1001" s="560">
        <v>8</v>
      </c>
      <c r="G1001" s="560" t="s">
        <v>34</v>
      </c>
      <c r="H1001" s="566">
        <v>2346.1538461538462</v>
      </c>
      <c r="I1001" s="567" t="s">
        <v>499</v>
      </c>
      <c r="J1001" s="568" t="s">
        <v>288</v>
      </c>
      <c r="L1001" s="373">
        <v>1</v>
      </c>
    </row>
    <row r="1002" spans="1:12">
      <c r="A1002" s="565">
        <v>997</v>
      </c>
      <c r="B1002" s="560" t="s">
        <v>278</v>
      </c>
      <c r="C1002" s="560" t="s">
        <v>462</v>
      </c>
      <c r="D1002" s="560" t="s">
        <v>293</v>
      </c>
      <c r="E1002" s="560">
        <v>173</v>
      </c>
      <c r="F1002" s="560">
        <v>7</v>
      </c>
      <c r="G1002" s="560" t="s">
        <v>34</v>
      </c>
      <c r="H1002" s="566">
        <v>2217.9487179487178</v>
      </c>
      <c r="I1002" s="567" t="s">
        <v>499</v>
      </c>
      <c r="J1002" s="568" t="s">
        <v>288</v>
      </c>
      <c r="L1002" s="373">
        <v>1</v>
      </c>
    </row>
    <row r="1003" spans="1:12" ht="21">
      <c r="A1003" s="565">
        <v>998</v>
      </c>
      <c r="B1003" s="560" t="s">
        <v>278</v>
      </c>
      <c r="C1003" s="560" t="s">
        <v>462</v>
      </c>
      <c r="D1003" s="560" t="s">
        <v>291</v>
      </c>
      <c r="E1003" s="560">
        <v>122</v>
      </c>
      <c r="F1003" s="560">
        <v>4</v>
      </c>
      <c r="G1003" s="560" t="s">
        <v>34</v>
      </c>
      <c r="H1003" s="566">
        <v>1564.1025641025642</v>
      </c>
      <c r="I1003" s="567" t="s">
        <v>464</v>
      </c>
      <c r="J1003" s="568" t="s">
        <v>506</v>
      </c>
      <c r="L1003" s="373">
        <v>1</v>
      </c>
    </row>
    <row r="1004" spans="1:12" ht="21">
      <c r="A1004" s="565">
        <v>999</v>
      </c>
      <c r="B1004" s="560" t="s">
        <v>278</v>
      </c>
      <c r="C1004" s="560" t="s">
        <v>462</v>
      </c>
      <c r="D1004" s="560" t="s">
        <v>291</v>
      </c>
      <c r="E1004" s="560">
        <v>121</v>
      </c>
      <c r="F1004" s="560">
        <v>5</v>
      </c>
      <c r="G1004" s="560" t="s">
        <v>34</v>
      </c>
      <c r="H1004" s="566">
        <v>1551.2820512820513</v>
      </c>
      <c r="I1004" s="567" t="s">
        <v>489</v>
      </c>
      <c r="J1004" s="568" t="s">
        <v>288</v>
      </c>
      <c r="L1004" s="373">
        <v>1</v>
      </c>
    </row>
    <row r="1005" spans="1:12" ht="21">
      <c r="A1005" s="565">
        <v>1000</v>
      </c>
      <c r="B1005" s="560" t="s">
        <v>278</v>
      </c>
      <c r="C1005" s="560" t="s">
        <v>462</v>
      </c>
      <c r="D1005" s="560" t="s">
        <v>293</v>
      </c>
      <c r="E1005" s="560">
        <v>148</v>
      </c>
      <c r="F1005" s="560">
        <v>4</v>
      </c>
      <c r="G1005" s="560" t="s">
        <v>34</v>
      </c>
      <c r="H1005" s="566">
        <v>1897.4358974358975</v>
      </c>
      <c r="I1005" s="567" t="s">
        <v>489</v>
      </c>
      <c r="J1005" s="568" t="s">
        <v>288</v>
      </c>
      <c r="L1005" s="373">
        <v>1</v>
      </c>
    </row>
    <row r="1006" spans="1:12" ht="21">
      <c r="A1006" s="565">
        <v>1001</v>
      </c>
      <c r="B1006" s="560" t="s">
        <v>278</v>
      </c>
      <c r="C1006" s="560" t="s">
        <v>462</v>
      </c>
      <c r="D1006" s="560" t="s">
        <v>291</v>
      </c>
      <c r="E1006" s="560">
        <v>176</v>
      </c>
      <c r="F1006" s="560">
        <v>6</v>
      </c>
      <c r="G1006" s="560" t="s">
        <v>34</v>
      </c>
      <c r="H1006" s="566">
        <v>2256.4102564102564</v>
      </c>
      <c r="I1006" s="567" t="s">
        <v>489</v>
      </c>
      <c r="J1006" s="568" t="s">
        <v>288</v>
      </c>
      <c r="L1006" s="373">
        <v>1</v>
      </c>
    </row>
    <row r="1007" spans="1:12" ht="21">
      <c r="A1007" s="565">
        <v>1002</v>
      </c>
      <c r="B1007" s="560" t="s">
        <v>278</v>
      </c>
      <c r="C1007" s="560" t="s">
        <v>462</v>
      </c>
      <c r="D1007" s="560" t="s">
        <v>291</v>
      </c>
      <c r="E1007" s="560">
        <v>139</v>
      </c>
      <c r="F1007" s="560">
        <v>4</v>
      </c>
      <c r="G1007" s="560" t="s">
        <v>34</v>
      </c>
      <c r="H1007" s="566">
        <v>1782.051282051282</v>
      </c>
      <c r="I1007" s="567" t="s">
        <v>464</v>
      </c>
      <c r="J1007" s="568" t="s">
        <v>506</v>
      </c>
      <c r="L1007" s="373">
        <v>1</v>
      </c>
    </row>
    <row r="1008" spans="1:12" ht="21">
      <c r="A1008" s="565">
        <v>1003</v>
      </c>
      <c r="B1008" s="560" t="s">
        <v>278</v>
      </c>
      <c r="C1008" s="560" t="s">
        <v>462</v>
      </c>
      <c r="D1008" s="560" t="s">
        <v>293</v>
      </c>
      <c r="E1008" s="560">
        <v>154</v>
      </c>
      <c r="F1008" s="560">
        <v>3</v>
      </c>
      <c r="G1008" s="560" t="s">
        <v>34</v>
      </c>
      <c r="H1008" s="566">
        <v>1974.3589743589744</v>
      </c>
      <c r="I1008" s="567" t="s">
        <v>489</v>
      </c>
      <c r="J1008" s="568" t="s">
        <v>288</v>
      </c>
      <c r="L1008" s="373">
        <v>1</v>
      </c>
    </row>
    <row r="1009" spans="1:12" ht="21">
      <c r="A1009" s="565">
        <v>1004</v>
      </c>
      <c r="B1009" s="560" t="s">
        <v>278</v>
      </c>
      <c r="C1009" s="560" t="s">
        <v>462</v>
      </c>
      <c r="D1009" s="560" t="s">
        <v>291</v>
      </c>
      <c r="E1009" s="560">
        <v>167</v>
      </c>
      <c r="F1009" s="560">
        <v>5</v>
      </c>
      <c r="G1009" s="560" t="s">
        <v>34</v>
      </c>
      <c r="H1009" s="566">
        <v>2141.0256410256411</v>
      </c>
      <c r="I1009" s="567" t="s">
        <v>489</v>
      </c>
      <c r="J1009" s="568" t="s">
        <v>288</v>
      </c>
      <c r="L1009" s="373">
        <v>1</v>
      </c>
    </row>
    <row r="1010" spans="1:12" ht="21">
      <c r="A1010" s="565">
        <v>1005</v>
      </c>
      <c r="B1010" s="560" t="s">
        <v>278</v>
      </c>
      <c r="C1010" s="560" t="s">
        <v>462</v>
      </c>
      <c r="D1010" s="560" t="s">
        <v>293</v>
      </c>
      <c r="E1010" s="560">
        <v>182</v>
      </c>
      <c r="F1010" s="560">
        <v>6</v>
      </c>
      <c r="G1010" s="560" t="s">
        <v>34</v>
      </c>
      <c r="H1010" s="566">
        <v>2333.3333333333335</v>
      </c>
      <c r="I1010" s="567" t="s">
        <v>489</v>
      </c>
      <c r="J1010" s="568" t="s">
        <v>288</v>
      </c>
      <c r="L1010" s="373">
        <v>1</v>
      </c>
    </row>
    <row r="1011" spans="1:12">
      <c r="A1011" s="565">
        <v>1006</v>
      </c>
      <c r="B1011" s="560" t="s">
        <v>277</v>
      </c>
      <c r="C1011" s="560" t="s">
        <v>462</v>
      </c>
      <c r="D1011" s="560" t="s">
        <v>293</v>
      </c>
      <c r="E1011" s="560">
        <v>253</v>
      </c>
      <c r="F1011" s="560">
        <v>9</v>
      </c>
      <c r="G1011" s="560" t="s">
        <v>34</v>
      </c>
      <c r="H1011" s="566">
        <v>3243.5897435897436</v>
      </c>
      <c r="I1011" s="567" t="s">
        <v>499</v>
      </c>
      <c r="J1011" s="568" t="s">
        <v>288</v>
      </c>
      <c r="L1011" s="373">
        <v>1</v>
      </c>
    </row>
    <row r="1012" spans="1:12">
      <c r="A1012" s="565">
        <v>1007</v>
      </c>
      <c r="B1012" s="560" t="s">
        <v>278</v>
      </c>
      <c r="C1012" s="560" t="s">
        <v>462</v>
      </c>
      <c r="D1012" s="560" t="s">
        <v>291</v>
      </c>
      <c r="E1012" s="560">
        <v>167</v>
      </c>
      <c r="F1012" s="560">
        <v>5</v>
      </c>
      <c r="G1012" s="560" t="s">
        <v>34</v>
      </c>
      <c r="H1012" s="566">
        <v>2141.0256410256411</v>
      </c>
      <c r="I1012" s="567" t="s">
        <v>499</v>
      </c>
      <c r="J1012" s="568" t="s">
        <v>288</v>
      </c>
      <c r="L1012" s="373">
        <v>1</v>
      </c>
    </row>
    <row r="1013" spans="1:12">
      <c r="A1013" s="565">
        <v>1008</v>
      </c>
      <c r="B1013" s="560" t="s">
        <v>278</v>
      </c>
      <c r="C1013" s="560" t="s">
        <v>462</v>
      </c>
      <c r="D1013" s="560" t="s">
        <v>291</v>
      </c>
      <c r="E1013" s="560">
        <v>148</v>
      </c>
      <c r="F1013" s="560">
        <v>3</v>
      </c>
      <c r="G1013" s="560" t="s">
        <v>34</v>
      </c>
      <c r="H1013" s="566">
        <v>1897.4358974358975</v>
      </c>
      <c r="I1013" s="567" t="s">
        <v>464</v>
      </c>
      <c r="J1013" s="568" t="s">
        <v>288</v>
      </c>
      <c r="L1013" s="373">
        <v>1</v>
      </c>
    </row>
    <row r="1014" spans="1:12">
      <c r="A1014" s="565">
        <v>1009</v>
      </c>
      <c r="B1014" s="560" t="s">
        <v>278</v>
      </c>
      <c r="C1014" s="560" t="s">
        <v>462</v>
      </c>
      <c r="D1014" s="560" t="s">
        <v>291</v>
      </c>
      <c r="E1014" s="560">
        <v>153</v>
      </c>
      <c r="F1014" s="560">
        <v>4</v>
      </c>
      <c r="G1014" s="560" t="s">
        <v>34</v>
      </c>
      <c r="H1014" s="566">
        <v>1961.5384615384614</v>
      </c>
      <c r="I1014" s="567" t="s">
        <v>499</v>
      </c>
      <c r="J1014" s="568" t="s">
        <v>288</v>
      </c>
      <c r="L1014" s="373">
        <v>1</v>
      </c>
    </row>
    <row r="1015" spans="1:12">
      <c r="A1015" s="565">
        <v>1010</v>
      </c>
      <c r="B1015" s="560" t="s">
        <v>278</v>
      </c>
      <c r="C1015" s="560" t="s">
        <v>462</v>
      </c>
      <c r="D1015" s="560" t="s">
        <v>293</v>
      </c>
      <c r="E1015" s="560">
        <v>169</v>
      </c>
      <c r="F1015" s="560">
        <v>6</v>
      </c>
      <c r="G1015" s="560" t="s">
        <v>34</v>
      </c>
      <c r="H1015" s="566">
        <v>2166.6666666666665</v>
      </c>
      <c r="I1015" s="567" t="s">
        <v>499</v>
      </c>
      <c r="J1015" s="568" t="s">
        <v>288</v>
      </c>
      <c r="L1015" s="373">
        <v>1</v>
      </c>
    </row>
    <row r="1016" spans="1:12">
      <c r="A1016" s="565">
        <v>1011</v>
      </c>
      <c r="B1016" s="560" t="s">
        <v>278</v>
      </c>
      <c r="C1016" s="560" t="s">
        <v>462</v>
      </c>
      <c r="D1016" s="560" t="s">
        <v>291</v>
      </c>
      <c r="E1016" s="560">
        <v>139</v>
      </c>
      <c r="F1016" s="560">
        <v>3</v>
      </c>
      <c r="G1016" s="560" t="s">
        <v>286</v>
      </c>
      <c r="H1016" s="566">
        <v>3.8990182328190746</v>
      </c>
      <c r="I1016" s="567" t="s">
        <v>288</v>
      </c>
      <c r="J1016" s="568" t="s">
        <v>288</v>
      </c>
      <c r="L1016" s="373">
        <v>1</v>
      </c>
    </row>
    <row r="1017" spans="1:12">
      <c r="A1017" s="565">
        <v>1012</v>
      </c>
      <c r="B1017" s="560" t="s">
        <v>278</v>
      </c>
      <c r="C1017" s="560" t="s">
        <v>462</v>
      </c>
      <c r="D1017" s="560" t="s">
        <v>291</v>
      </c>
      <c r="E1017" s="560">
        <v>141</v>
      </c>
      <c r="F1017" s="560">
        <v>4</v>
      </c>
      <c r="G1017" s="560" t="s">
        <v>34</v>
      </c>
      <c r="H1017" s="566">
        <v>1807.6923076923076</v>
      </c>
      <c r="I1017" s="567" t="s">
        <v>464</v>
      </c>
      <c r="J1017" s="568" t="s">
        <v>288</v>
      </c>
      <c r="L1017" s="373">
        <v>1</v>
      </c>
    </row>
    <row r="1018" spans="1:12" ht="21">
      <c r="A1018" s="565">
        <v>1013</v>
      </c>
      <c r="B1018" s="560" t="s">
        <v>278</v>
      </c>
      <c r="C1018" s="560" t="s">
        <v>462</v>
      </c>
      <c r="D1018" s="560" t="s">
        <v>291</v>
      </c>
      <c r="E1018" s="560">
        <v>138</v>
      </c>
      <c r="F1018" s="560">
        <v>5</v>
      </c>
      <c r="G1018" s="560" t="s">
        <v>286</v>
      </c>
      <c r="H1018" s="566">
        <v>3.870967741935484</v>
      </c>
      <c r="I1018" s="567" t="s">
        <v>464</v>
      </c>
      <c r="J1018" s="568" t="s">
        <v>506</v>
      </c>
      <c r="L1018" s="373">
        <v>1</v>
      </c>
    </row>
    <row r="1019" spans="1:12">
      <c r="A1019" s="565">
        <v>1014</v>
      </c>
      <c r="B1019" s="560" t="s">
        <v>278</v>
      </c>
      <c r="C1019" s="560" t="s">
        <v>462</v>
      </c>
      <c r="D1019" s="560" t="s">
        <v>291</v>
      </c>
      <c r="E1019" s="560">
        <v>152</v>
      </c>
      <c r="F1019" s="560">
        <v>4</v>
      </c>
      <c r="G1019" s="560" t="s">
        <v>286</v>
      </c>
      <c r="H1019" s="566">
        <v>4.2636746143057502</v>
      </c>
      <c r="I1019" s="567" t="s">
        <v>499</v>
      </c>
      <c r="J1019" s="568" t="s">
        <v>288</v>
      </c>
      <c r="L1019" s="373">
        <v>1</v>
      </c>
    </row>
    <row r="1020" spans="1:12">
      <c r="A1020" s="565">
        <v>1015</v>
      </c>
      <c r="B1020" s="560" t="s">
        <v>278</v>
      </c>
      <c r="C1020" s="560" t="s">
        <v>462</v>
      </c>
      <c r="D1020" s="560" t="s">
        <v>291</v>
      </c>
      <c r="E1020" s="560">
        <v>159</v>
      </c>
      <c r="F1020" s="560">
        <v>5</v>
      </c>
      <c r="G1020" s="560" t="s">
        <v>286</v>
      </c>
      <c r="H1020" s="566">
        <v>4.4600280504908838</v>
      </c>
      <c r="I1020" s="567" t="s">
        <v>499</v>
      </c>
      <c r="J1020" s="568" t="s">
        <v>288</v>
      </c>
      <c r="L1020" s="373">
        <v>1</v>
      </c>
    </row>
    <row r="1021" spans="1:12">
      <c r="A1021" s="565">
        <v>1016</v>
      </c>
      <c r="B1021" s="560" t="s">
        <v>278</v>
      </c>
      <c r="C1021" s="560" t="s">
        <v>462</v>
      </c>
      <c r="D1021" s="560" t="s">
        <v>292</v>
      </c>
      <c r="E1021" s="560">
        <v>98</v>
      </c>
      <c r="F1021" s="560">
        <v>3</v>
      </c>
      <c r="G1021" s="560" t="s">
        <v>286</v>
      </c>
      <c r="H1021" s="566">
        <v>2.7489481065918655</v>
      </c>
      <c r="I1021" s="567" t="s">
        <v>288</v>
      </c>
      <c r="J1021" s="568" t="s">
        <v>288</v>
      </c>
      <c r="L1021" s="373">
        <v>1</v>
      </c>
    </row>
    <row r="1022" spans="1:12">
      <c r="A1022" s="565">
        <v>1017</v>
      </c>
      <c r="B1022" s="560" t="s">
        <v>278</v>
      </c>
      <c r="C1022" s="560" t="s">
        <v>462</v>
      </c>
      <c r="D1022" s="560" t="s">
        <v>292</v>
      </c>
      <c r="E1022" s="560">
        <v>171</v>
      </c>
      <c r="F1022" s="560">
        <v>5</v>
      </c>
      <c r="G1022" s="560" t="s">
        <v>286</v>
      </c>
      <c r="H1022" s="566">
        <v>4.7966339410939689</v>
      </c>
      <c r="I1022" s="567" t="s">
        <v>288</v>
      </c>
      <c r="J1022" s="568" t="s">
        <v>288</v>
      </c>
      <c r="L1022" s="373">
        <v>1</v>
      </c>
    </row>
    <row r="1023" spans="1:12">
      <c r="A1023" s="565">
        <v>1018</v>
      </c>
      <c r="B1023" s="560" t="s">
        <v>278</v>
      </c>
      <c r="C1023" s="560" t="s">
        <v>462</v>
      </c>
      <c r="D1023" s="560" t="s">
        <v>292</v>
      </c>
      <c r="E1023" s="560">
        <v>121</v>
      </c>
      <c r="F1023" s="560">
        <v>3</v>
      </c>
      <c r="G1023" s="560" t="s">
        <v>286</v>
      </c>
      <c r="H1023" s="566">
        <v>3.394109396914446</v>
      </c>
      <c r="I1023" s="567" t="s">
        <v>288</v>
      </c>
      <c r="J1023" s="568" t="s">
        <v>288</v>
      </c>
      <c r="L1023" s="373">
        <v>1</v>
      </c>
    </row>
    <row r="1024" spans="1:12" ht="21">
      <c r="A1024" s="565">
        <v>1019</v>
      </c>
      <c r="B1024" s="560" t="s">
        <v>278</v>
      </c>
      <c r="C1024" s="560" t="s">
        <v>462</v>
      </c>
      <c r="D1024" s="560" t="s">
        <v>294</v>
      </c>
      <c r="E1024" s="560">
        <v>173</v>
      </c>
      <c r="F1024" s="560">
        <v>5</v>
      </c>
      <c r="G1024" s="560" t="s">
        <v>286</v>
      </c>
      <c r="H1024" s="566">
        <v>4.85273492286115</v>
      </c>
      <c r="I1024" s="567" t="s">
        <v>489</v>
      </c>
      <c r="J1024" s="568" t="s">
        <v>474</v>
      </c>
      <c r="L1024" s="373">
        <v>1</v>
      </c>
    </row>
    <row r="1025" spans="1:12" ht="21">
      <c r="A1025" s="565">
        <v>1020</v>
      </c>
      <c r="B1025" s="560" t="s">
        <v>278</v>
      </c>
      <c r="C1025" s="560" t="s">
        <v>462</v>
      </c>
      <c r="D1025" s="560" t="s">
        <v>291</v>
      </c>
      <c r="E1025" s="560">
        <v>119</v>
      </c>
      <c r="F1025" s="560">
        <v>4</v>
      </c>
      <c r="G1025" s="560" t="s">
        <v>34</v>
      </c>
      <c r="H1025" s="566">
        <v>1525.6410256410256</v>
      </c>
      <c r="I1025" s="567" t="s">
        <v>489</v>
      </c>
      <c r="J1025" s="568" t="s">
        <v>288</v>
      </c>
      <c r="L1025" s="373">
        <v>1</v>
      </c>
    </row>
    <row r="1026" spans="1:12" ht="21">
      <c r="A1026" s="565">
        <v>1021</v>
      </c>
      <c r="B1026" s="560" t="s">
        <v>278</v>
      </c>
      <c r="C1026" s="560" t="s">
        <v>462</v>
      </c>
      <c r="D1026" s="560" t="s">
        <v>291</v>
      </c>
      <c r="E1026" s="560">
        <v>118</v>
      </c>
      <c r="F1026" s="560">
        <v>3</v>
      </c>
      <c r="G1026" s="560" t="s">
        <v>34</v>
      </c>
      <c r="H1026" s="566">
        <v>1512.8205128205129</v>
      </c>
      <c r="I1026" s="567" t="s">
        <v>489</v>
      </c>
      <c r="J1026" s="568" t="s">
        <v>288</v>
      </c>
      <c r="L1026" s="373">
        <v>1</v>
      </c>
    </row>
    <row r="1027" spans="1:12">
      <c r="A1027" s="565">
        <v>1022</v>
      </c>
      <c r="B1027" s="560" t="s">
        <v>278</v>
      </c>
      <c r="C1027" s="560" t="s">
        <v>462</v>
      </c>
      <c r="D1027" s="560" t="s">
        <v>292</v>
      </c>
      <c r="E1027" s="560">
        <v>128</v>
      </c>
      <c r="F1027" s="560">
        <v>2</v>
      </c>
      <c r="G1027" s="560" t="s">
        <v>286</v>
      </c>
      <c r="H1027" s="566">
        <v>3.5904628330995796</v>
      </c>
      <c r="I1027" s="567" t="s">
        <v>288</v>
      </c>
      <c r="J1027" s="568" t="s">
        <v>288</v>
      </c>
      <c r="L1027" s="373">
        <v>1</v>
      </c>
    </row>
    <row r="1028" spans="1:12" ht="21">
      <c r="A1028" s="565">
        <v>1023</v>
      </c>
      <c r="B1028" s="560" t="s">
        <v>278</v>
      </c>
      <c r="C1028" s="560" t="s">
        <v>462</v>
      </c>
      <c r="D1028" s="560" t="s">
        <v>291</v>
      </c>
      <c r="E1028" s="560">
        <v>147</v>
      </c>
      <c r="F1028" s="560">
        <v>3</v>
      </c>
      <c r="G1028" s="560" t="s">
        <v>286</v>
      </c>
      <c r="H1028" s="566">
        <v>4.1234221598877978</v>
      </c>
      <c r="I1028" s="567" t="s">
        <v>489</v>
      </c>
      <c r="J1028" s="568" t="s">
        <v>288</v>
      </c>
      <c r="L1028" s="373">
        <v>1</v>
      </c>
    </row>
    <row r="1029" spans="1:12">
      <c r="A1029" s="565">
        <v>1024</v>
      </c>
      <c r="B1029" s="560" t="s">
        <v>278</v>
      </c>
      <c r="C1029" s="560" t="s">
        <v>462</v>
      </c>
      <c r="D1029" s="560" t="s">
        <v>292</v>
      </c>
      <c r="E1029" s="560">
        <v>112</v>
      </c>
      <c r="F1029" s="560">
        <v>3</v>
      </c>
      <c r="G1029" s="560" t="s">
        <v>286</v>
      </c>
      <c r="H1029" s="566">
        <v>3.1416549789621318</v>
      </c>
      <c r="I1029" s="567" t="s">
        <v>288</v>
      </c>
      <c r="J1029" s="568" t="s">
        <v>288</v>
      </c>
      <c r="L1029" s="373">
        <v>1</v>
      </c>
    </row>
    <row r="1030" spans="1:12">
      <c r="A1030" s="565">
        <v>1025</v>
      </c>
      <c r="B1030" s="560" t="s">
        <v>278</v>
      </c>
      <c r="C1030" s="560" t="s">
        <v>462</v>
      </c>
      <c r="D1030" s="560" t="s">
        <v>291</v>
      </c>
      <c r="E1030" s="560">
        <v>115</v>
      </c>
      <c r="F1030" s="560">
        <v>5</v>
      </c>
      <c r="G1030" s="560" t="s">
        <v>34</v>
      </c>
      <c r="H1030" s="566">
        <v>1474.3589743589744</v>
      </c>
      <c r="I1030" s="567" t="s">
        <v>464</v>
      </c>
      <c r="J1030" s="568" t="s">
        <v>288</v>
      </c>
      <c r="L1030" s="373">
        <v>1</v>
      </c>
    </row>
    <row r="1031" spans="1:12">
      <c r="A1031" s="565">
        <v>1026</v>
      </c>
      <c r="B1031" s="560" t="s">
        <v>277</v>
      </c>
      <c r="C1031" s="560" t="s">
        <v>462</v>
      </c>
      <c r="D1031" s="560" t="s">
        <v>291</v>
      </c>
      <c r="E1031" s="560">
        <v>360</v>
      </c>
      <c r="F1031" s="560">
        <v>12</v>
      </c>
      <c r="G1031" s="560" t="s">
        <v>34</v>
      </c>
      <c r="H1031" s="566">
        <v>4615.3846153846152</v>
      </c>
      <c r="I1031" s="567" t="s">
        <v>464</v>
      </c>
      <c r="J1031" s="568" t="s">
        <v>288</v>
      </c>
      <c r="L1031" s="373">
        <v>1</v>
      </c>
    </row>
    <row r="1032" spans="1:12" ht="21">
      <c r="A1032" s="565">
        <v>1027</v>
      </c>
      <c r="B1032" s="560" t="s">
        <v>278</v>
      </c>
      <c r="C1032" s="560" t="s">
        <v>462</v>
      </c>
      <c r="D1032" s="560" t="s">
        <v>293</v>
      </c>
      <c r="E1032" s="560">
        <v>154</v>
      </c>
      <c r="F1032" s="560">
        <v>4</v>
      </c>
      <c r="G1032" s="560" t="s">
        <v>34</v>
      </c>
      <c r="H1032" s="566">
        <v>1974.3589743589744</v>
      </c>
      <c r="I1032" s="567" t="s">
        <v>489</v>
      </c>
      <c r="J1032" s="568" t="s">
        <v>288</v>
      </c>
      <c r="L1032" s="373">
        <v>1</v>
      </c>
    </row>
    <row r="1033" spans="1:12">
      <c r="A1033" s="565">
        <v>1028</v>
      </c>
      <c r="B1033" s="560" t="s">
        <v>278</v>
      </c>
      <c r="C1033" s="560" t="s">
        <v>462</v>
      </c>
      <c r="D1033" s="560" t="s">
        <v>291</v>
      </c>
      <c r="E1033" s="560">
        <v>138</v>
      </c>
      <c r="F1033" s="560">
        <v>3</v>
      </c>
      <c r="G1033" s="560" t="s">
        <v>34</v>
      </c>
      <c r="H1033" s="566">
        <v>1769.2307692307693</v>
      </c>
      <c r="I1033" s="567" t="s">
        <v>464</v>
      </c>
      <c r="J1033" s="568" t="s">
        <v>288</v>
      </c>
      <c r="L1033" s="373">
        <v>1</v>
      </c>
    </row>
    <row r="1034" spans="1:12" ht="21">
      <c r="A1034" s="565">
        <v>1029</v>
      </c>
      <c r="B1034" s="560" t="s">
        <v>278</v>
      </c>
      <c r="C1034" s="560" t="s">
        <v>462</v>
      </c>
      <c r="D1034" s="560" t="s">
        <v>291</v>
      </c>
      <c r="E1034" s="560">
        <v>145</v>
      </c>
      <c r="F1034" s="560">
        <v>4</v>
      </c>
      <c r="G1034" s="560" t="s">
        <v>286</v>
      </c>
      <c r="H1034" s="566">
        <v>4.0673211781206176</v>
      </c>
      <c r="I1034" s="567" t="s">
        <v>489</v>
      </c>
      <c r="J1034" s="568" t="s">
        <v>288</v>
      </c>
      <c r="L1034" s="373">
        <v>1</v>
      </c>
    </row>
    <row r="1035" spans="1:12">
      <c r="A1035" s="565">
        <v>1030</v>
      </c>
      <c r="B1035" s="560" t="s">
        <v>278</v>
      </c>
      <c r="C1035" s="560" t="s">
        <v>462</v>
      </c>
      <c r="D1035" s="560" t="s">
        <v>292</v>
      </c>
      <c r="E1035" s="560">
        <v>173</v>
      </c>
      <c r="F1035" s="560">
        <v>5</v>
      </c>
      <c r="G1035" s="560" t="s">
        <v>286</v>
      </c>
      <c r="H1035" s="566">
        <v>4.85273492286115</v>
      </c>
      <c r="I1035" s="567" t="s">
        <v>288</v>
      </c>
      <c r="J1035" s="568" t="s">
        <v>288</v>
      </c>
      <c r="L1035" s="373">
        <v>1</v>
      </c>
    </row>
    <row r="1036" spans="1:12" ht="21">
      <c r="A1036" s="565">
        <v>1031</v>
      </c>
      <c r="B1036" s="560" t="s">
        <v>277</v>
      </c>
      <c r="C1036" s="560" t="s">
        <v>462</v>
      </c>
      <c r="D1036" s="560" t="s">
        <v>292</v>
      </c>
      <c r="E1036" s="560">
        <v>224</v>
      </c>
      <c r="F1036" s="560">
        <v>7</v>
      </c>
      <c r="G1036" s="560" t="s">
        <v>286</v>
      </c>
      <c r="H1036" s="566">
        <v>6.2833099579242635</v>
      </c>
      <c r="I1036" s="567" t="s">
        <v>288</v>
      </c>
      <c r="J1036" s="568" t="s">
        <v>496</v>
      </c>
      <c r="L1036" s="373">
        <v>1</v>
      </c>
    </row>
    <row r="1037" spans="1:12">
      <c r="A1037" s="565">
        <v>1032</v>
      </c>
      <c r="B1037" s="560" t="s">
        <v>278</v>
      </c>
      <c r="C1037" s="560" t="s">
        <v>534</v>
      </c>
      <c r="D1037" s="560" t="s">
        <v>291</v>
      </c>
      <c r="E1037" s="560">
        <v>168</v>
      </c>
      <c r="F1037" s="560">
        <v>5</v>
      </c>
      <c r="G1037" s="560" t="s">
        <v>286</v>
      </c>
      <c r="H1037" s="566">
        <v>4.7124824684431976</v>
      </c>
      <c r="I1037" s="567" t="s">
        <v>464</v>
      </c>
      <c r="J1037" s="568" t="s">
        <v>288</v>
      </c>
      <c r="L1037" s="373">
        <v>1</v>
      </c>
    </row>
    <row r="1038" spans="1:12">
      <c r="A1038" s="565">
        <v>1033</v>
      </c>
      <c r="B1038" s="560" t="s">
        <v>278</v>
      </c>
      <c r="C1038" s="560" t="s">
        <v>534</v>
      </c>
      <c r="D1038" s="560" t="s">
        <v>291</v>
      </c>
      <c r="E1038" s="560">
        <v>127</v>
      </c>
      <c r="F1038" s="560">
        <v>4</v>
      </c>
      <c r="G1038" s="560" t="s">
        <v>286</v>
      </c>
      <c r="H1038" s="566">
        <v>3.562412342215989</v>
      </c>
      <c r="I1038" s="567" t="s">
        <v>288</v>
      </c>
      <c r="J1038" s="568" t="s">
        <v>288</v>
      </c>
      <c r="L1038" s="373">
        <v>1</v>
      </c>
    </row>
    <row r="1039" spans="1:12">
      <c r="A1039" s="565">
        <v>1034</v>
      </c>
      <c r="B1039" s="560" t="s">
        <v>278</v>
      </c>
      <c r="C1039" s="560" t="s">
        <v>534</v>
      </c>
      <c r="D1039" s="560" t="s">
        <v>291</v>
      </c>
      <c r="E1039" s="560">
        <v>149</v>
      </c>
      <c r="F1039" s="560">
        <v>3</v>
      </c>
      <c r="G1039" s="560" t="s">
        <v>286</v>
      </c>
      <c r="H1039" s="566">
        <v>4.179523141654979</v>
      </c>
      <c r="I1039" s="567" t="s">
        <v>499</v>
      </c>
      <c r="J1039" s="568" t="s">
        <v>288</v>
      </c>
      <c r="L1039" s="373">
        <v>1</v>
      </c>
    </row>
    <row r="1040" spans="1:12">
      <c r="A1040" s="565">
        <v>1035</v>
      </c>
      <c r="B1040" s="560" t="s">
        <v>278</v>
      </c>
      <c r="C1040" s="560" t="s">
        <v>534</v>
      </c>
      <c r="D1040" s="560" t="s">
        <v>292</v>
      </c>
      <c r="E1040" s="560">
        <v>132</v>
      </c>
      <c r="F1040" s="560">
        <v>4</v>
      </c>
      <c r="G1040" s="560" t="s">
        <v>286</v>
      </c>
      <c r="H1040" s="566">
        <v>3.7026647966339414</v>
      </c>
      <c r="I1040" s="567" t="s">
        <v>288</v>
      </c>
      <c r="J1040" s="568" t="s">
        <v>288</v>
      </c>
      <c r="L1040" s="373">
        <v>1</v>
      </c>
    </row>
    <row r="1041" spans="1:12" ht="21">
      <c r="A1041" s="565">
        <v>1036</v>
      </c>
      <c r="B1041" s="560" t="s">
        <v>278</v>
      </c>
      <c r="C1041" s="560" t="s">
        <v>534</v>
      </c>
      <c r="D1041" s="560" t="s">
        <v>292</v>
      </c>
      <c r="E1041" s="560">
        <v>161</v>
      </c>
      <c r="F1041" s="560">
        <v>3</v>
      </c>
      <c r="G1041" s="560" t="s">
        <v>286</v>
      </c>
      <c r="H1041" s="566">
        <v>4.5161290322580649</v>
      </c>
      <c r="I1041" s="567" t="s">
        <v>489</v>
      </c>
      <c r="J1041" s="568" t="s">
        <v>288</v>
      </c>
      <c r="L1041" s="373">
        <v>1</v>
      </c>
    </row>
    <row r="1042" spans="1:12">
      <c r="A1042" s="565">
        <v>1037</v>
      </c>
      <c r="B1042" s="560" t="s">
        <v>278</v>
      </c>
      <c r="C1042" s="560" t="s">
        <v>534</v>
      </c>
      <c r="D1042" s="560" t="s">
        <v>291</v>
      </c>
      <c r="E1042" s="560">
        <v>157</v>
      </c>
      <c r="F1042" s="560">
        <v>5</v>
      </c>
      <c r="G1042" s="560" t="s">
        <v>286</v>
      </c>
      <c r="H1042" s="566">
        <v>4.4039270687237027</v>
      </c>
      <c r="I1042" s="567" t="s">
        <v>499</v>
      </c>
      <c r="J1042" s="568" t="s">
        <v>288</v>
      </c>
      <c r="L1042" s="373">
        <v>1</v>
      </c>
    </row>
    <row r="1043" spans="1:12" ht="21">
      <c r="A1043" s="565">
        <v>1038</v>
      </c>
      <c r="B1043" s="560" t="s">
        <v>278</v>
      </c>
      <c r="C1043" s="560" t="s">
        <v>534</v>
      </c>
      <c r="D1043" s="560" t="s">
        <v>291</v>
      </c>
      <c r="E1043" s="560">
        <v>145</v>
      </c>
      <c r="F1043" s="560">
        <v>4</v>
      </c>
      <c r="G1043" s="560" t="s">
        <v>286</v>
      </c>
      <c r="H1043" s="566">
        <v>4.0673211781206176</v>
      </c>
      <c r="I1043" s="567" t="s">
        <v>489</v>
      </c>
      <c r="J1043" s="568" t="s">
        <v>288</v>
      </c>
      <c r="L1043" s="373">
        <v>1</v>
      </c>
    </row>
    <row r="1044" spans="1:12" ht="21">
      <c r="A1044" s="569">
        <v>1039</v>
      </c>
      <c r="B1044" s="595" t="s">
        <v>277</v>
      </c>
      <c r="C1044" s="595" t="s">
        <v>510</v>
      </c>
      <c r="D1044" s="595">
        <v>1984</v>
      </c>
      <c r="E1044" s="595">
        <v>3540</v>
      </c>
      <c r="F1044" s="595">
        <v>245</v>
      </c>
      <c r="G1044" s="595" t="s">
        <v>487</v>
      </c>
      <c r="H1044" s="596">
        <v>1351.6609392898051</v>
      </c>
      <c r="I1044" s="597" t="s">
        <v>511</v>
      </c>
      <c r="J1044" s="598" t="s">
        <v>288</v>
      </c>
      <c r="K1044" s="562" t="s">
        <v>509</v>
      </c>
      <c r="L1044" s="373">
        <v>1</v>
      </c>
    </row>
    <row r="1045" spans="1:12" ht="21">
      <c r="A1045" s="565">
        <v>1040</v>
      </c>
      <c r="B1045" s="560" t="s">
        <v>277</v>
      </c>
      <c r="C1045" s="560" t="s">
        <v>510</v>
      </c>
      <c r="D1045" s="560">
        <v>1983</v>
      </c>
      <c r="E1045" s="560">
        <v>3580</v>
      </c>
      <c r="F1045" s="560">
        <v>250</v>
      </c>
      <c r="G1045" s="560" t="s">
        <v>487</v>
      </c>
      <c r="H1045" s="566">
        <v>1366.9339442535318</v>
      </c>
      <c r="I1045" s="567" t="s">
        <v>511</v>
      </c>
      <c r="J1045" s="568" t="s">
        <v>288</v>
      </c>
      <c r="L1045" s="373">
        <v>1</v>
      </c>
    </row>
    <row r="1046" spans="1:12" ht="21">
      <c r="A1046" s="565">
        <v>1041</v>
      </c>
      <c r="B1046" s="560" t="s">
        <v>277</v>
      </c>
      <c r="C1046" s="560" t="s">
        <v>510</v>
      </c>
      <c r="D1046" s="560">
        <v>1980</v>
      </c>
      <c r="E1046" s="560">
        <v>3580</v>
      </c>
      <c r="F1046" s="560">
        <v>240</v>
      </c>
      <c r="G1046" s="560" t="s">
        <v>487</v>
      </c>
      <c r="H1046" s="566">
        <v>1366.9339442535318</v>
      </c>
      <c r="I1046" s="567" t="s">
        <v>511</v>
      </c>
      <c r="J1046" s="568" t="s">
        <v>288</v>
      </c>
      <c r="L1046" s="373">
        <v>1</v>
      </c>
    </row>
    <row r="1047" spans="1:12" ht="21">
      <c r="A1047" s="565">
        <v>1042</v>
      </c>
      <c r="B1047" s="560" t="s">
        <v>277</v>
      </c>
      <c r="C1047" s="560" t="s">
        <v>510</v>
      </c>
      <c r="D1047" s="560">
        <v>1982</v>
      </c>
      <c r="E1047" s="560">
        <v>3500</v>
      </c>
      <c r="F1047" s="560">
        <v>240</v>
      </c>
      <c r="G1047" s="560" t="s">
        <v>487</v>
      </c>
      <c r="H1047" s="566">
        <v>1336.3879343260785</v>
      </c>
      <c r="I1047" s="567" t="s">
        <v>511</v>
      </c>
      <c r="J1047" s="568" t="s">
        <v>288</v>
      </c>
      <c r="L1047" s="373">
        <v>1</v>
      </c>
    </row>
    <row r="1048" spans="1:12" ht="21">
      <c r="A1048" s="565">
        <v>1043</v>
      </c>
      <c r="B1048" s="560" t="s">
        <v>277</v>
      </c>
      <c r="C1048" s="560" t="s">
        <v>510</v>
      </c>
      <c r="D1048" s="560">
        <v>1985</v>
      </c>
      <c r="E1048" s="560">
        <v>1900</v>
      </c>
      <c r="F1048" s="560">
        <v>180</v>
      </c>
      <c r="G1048" s="560" t="s">
        <v>487</v>
      </c>
      <c r="H1048" s="566">
        <v>725.46773577701401</v>
      </c>
      <c r="I1048" s="567" t="s">
        <v>511</v>
      </c>
      <c r="J1048" s="568" t="s">
        <v>288</v>
      </c>
      <c r="L1048" s="373">
        <v>1</v>
      </c>
    </row>
    <row r="1049" spans="1:12" ht="21">
      <c r="A1049" s="565">
        <v>1044</v>
      </c>
      <c r="B1049" s="560" t="s">
        <v>277</v>
      </c>
      <c r="C1049" s="560" t="s">
        <v>510</v>
      </c>
      <c r="D1049" s="560">
        <v>1985</v>
      </c>
      <c r="E1049" s="560">
        <v>1900</v>
      </c>
      <c r="F1049" s="560">
        <v>190</v>
      </c>
      <c r="G1049" s="560" t="s">
        <v>487</v>
      </c>
      <c r="H1049" s="566">
        <v>725.46773577701401</v>
      </c>
      <c r="I1049" s="567" t="s">
        <v>511</v>
      </c>
      <c r="J1049" s="568" t="s">
        <v>288</v>
      </c>
      <c r="L1049" s="373">
        <v>1</v>
      </c>
    </row>
    <row r="1050" spans="1:12">
      <c r="A1050" s="565">
        <v>1045</v>
      </c>
      <c r="B1050" s="560" t="s">
        <v>278</v>
      </c>
      <c r="C1050" s="560" t="s">
        <v>510</v>
      </c>
      <c r="D1050" s="560">
        <v>1920</v>
      </c>
      <c r="E1050" s="560">
        <v>234</v>
      </c>
      <c r="F1050" s="560"/>
      <c r="G1050" s="560" t="s">
        <v>487</v>
      </c>
      <c r="H1050" s="566">
        <v>89.347079037800682</v>
      </c>
      <c r="I1050" s="567" t="s">
        <v>464</v>
      </c>
      <c r="J1050" s="568" t="s">
        <v>288</v>
      </c>
      <c r="L1050" s="373">
        <v>1</v>
      </c>
    </row>
    <row r="1051" spans="1:12">
      <c r="A1051" s="565">
        <v>1046</v>
      </c>
      <c r="B1051" s="560" t="s">
        <v>277</v>
      </c>
      <c r="C1051" s="560" t="s">
        <v>510</v>
      </c>
      <c r="D1051" s="560">
        <v>1986</v>
      </c>
      <c r="E1051" s="560">
        <v>2247</v>
      </c>
      <c r="F1051" s="560">
        <v>150</v>
      </c>
      <c r="G1051" s="560" t="s">
        <v>34</v>
      </c>
      <c r="H1051" s="566">
        <v>28807.692307692309</v>
      </c>
      <c r="I1051" s="567" t="s">
        <v>512</v>
      </c>
      <c r="J1051" s="568" t="s">
        <v>468</v>
      </c>
      <c r="L1051" s="373">
        <v>1</v>
      </c>
    </row>
    <row r="1052" spans="1:12" ht="21">
      <c r="A1052" s="565">
        <v>1047</v>
      </c>
      <c r="B1052" s="560" t="s">
        <v>277</v>
      </c>
      <c r="C1052" s="560" t="s">
        <v>510</v>
      </c>
      <c r="D1052" s="560">
        <v>1967</v>
      </c>
      <c r="E1052" s="560">
        <v>1936</v>
      </c>
      <c r="F1052" s="560">
        <v>71</v>
      </c>
      <c r="G1052" s="560" t="s">
        <v>487</v>
      </c>
      <c r="H1052" s="566">
        <v>739.21344024436803</v>
      </c>
      <c r="I1052" s="567" t="s">
        <v>513</v>
      </c>
      <c r="J1052" s="568" t="s">
        <v>288</v>
      </c>
      <c r="L1052" s="373">
        <v>1</v>
      </c>
    </row>
    <row r="1053" spans="1:12" ht="21">
      <c r="A1053" s="565">
        <v>1048</v>
      </c>
      <c r="B1053" s="560" t="s">
        <v>277</v>
      </c>
      <c r="C1053" s="560" t="s">
        <v>510</v>
      </c>
      <c r="D1053" s="560">
        <v>1967</v>
      </c>
      <c r="E1053" s="560">
        <v>1936</v>
      </c>
      <c r="F1053" s="560">
        <v>79</v>
      </c>
      <c r="G1053" s="560" t="s">
        <v>487</v>
      </c>
      <c r="H1053" s="566">
        <v>739.21344024436803</v>
      </c>
      <c r="I1053" s="567" t="s">
        <v>513</v>
      </c>
      <c r="J1053" s="568" t="s">
        <v>288</v>
      </c>
      <c r="L1053" s="373">
        <v>1</v>
      </c>
    </row>
    <row r="1054" spans="1:12" ht="21">
      <c r="A1054" s="565">
        <v>1049</v>
      </c>
      <c r="B1054" s="560" t="s">
        <v>277</v>
      </c>
      <c r="C1054" s="560" t="s">
        <v>510</v>
      </c>
      <c r="D1054" s="560">
        <v>1967</v>
      </c>
      <c r="E1054" s="560">
        <v>1936</v>
      </c>
      <c r="F1054" s="560">
        <v>71</v>
      </c>
      <c r="G1054" s="560" t="s">
        <v>487</v>
      </c>
      <c r="H1054" s="566">
        <v>739.21344024436803</v>
      </c>
      <c r="I1054" s="567" t="s">
        <v>514</v>
      </c>
      <c r="J1054" s="568" t="s">
        <v>288</v>
      </c>
      <c r="L1054" s="373">
        <v>1</v>
      </c>
    </row>
    <row r="1055" spans="1:12">
      <c r="A1055" s="565">
        <v>1050</v>
      </c>
      <c r="B1055" s="560" t="s">
        <v>278</v>
      </c>
      <c r="C1055" s="560" t="s">
        <v>515</v>
      </c>
      <c r="D1055" s="560" t="s">
        <v>291</v>
      </c>
      <c r="E1055" s="560">
        <v>128</v>
      </c>
      <c r="F1055" s="560">
        <v>4</v>
      </c>
      <c r="G1055" s="560" t="s">
        <v>286</v>
      </c>
      <c r="H1055" s="566">
        <v>3.5904628330995796</v>
      </c>
      <c r="I1055" s="567" t="s">
        <v>288</v>
      </c>
      <c r="J1055" s="568" t="s">
        <v>288</v>
      </c>
      <c r="L1055" s="373">
        <v>1</v>
      </c>
    </row>
    <row r="1056" spans="1:12">
      <c r="A1056" s="565">
        <v>1051</v>
      </c>
      <c r="B1056" s="560" t="s">
        <v>278</v>
      </c>
      <c r="C1056" s="560" t="s">
        <v>515</v>
      </c>
      <c r="D1056" s="560" t="s">
        <v>292</v>
      </c>
      <c r="E1056" s="560">
        <v>106</v>
      </c>
      <c r="F1056" s="560">
        <v>2</v>
      </c>
      <c r="G1056" s="560" t="s">
        <v>286</v>
      </c>
      <c r="H1056" s="566">
        <v>2.9733520336605892</v>
      </c>
      <c r="I1056" s="567" t="s">
        <v>288</v>
      </c>
      <c r="J1056" s="568" t="s">
        <v>288</v>
      </c>
      <c r="L1056" s="373">
        <v>1</v>
      </c>
    </row>
    <row r="1057" spans="1:12">
      <c r="A1057" s="565">
        <v>1052</v>
      </c>
      <c r="B1057" s="560" t="s">
        <v>278</v>
      </c>
      <c r="C1057" s="560" t="s">
        <v>515</v>
      </c>
      <c r="D1057" s="560" t="s">
        <v>292</v>
      </c>
      <c r="E1057" s="560">
        <v>149</v>
      </c>
      <c r="F1057" s="560">
        <v>5</v>
      </c>
      <c r="G1057" s="560" t="s">
        <v>286</v>
      </c>
      <c r="H1057" s="566">
        <v>4.179523141654979</v>
      </c>
      <c r="I1057" s="567" t="s">
        <v>288</v>
      </c>
      <c r="J1057" s="568" t="s">
        <v>288</v>
      </c>
      <c r="L1057" s="373">
        <v>1</v>
      </c>
    </row>
    <row r="1058" spans="1:12" ht="21">
      <c r="A1058" s="565">
        <v>1053</v>
      </c>
      <c r="B1058" s="560" t="s">
        <v>278</v>
      </c>
      <c r="C1058" s="560" t="s">
        <v>515</v>
      </c>
      <c r="D1058" s="560" t="s">
        <v>291</v>
      </c>
      <c r="E1058" s="560">
        <v>131</v>
      </c>
      <c r="F1058" s="560">
        <v>3</v>
      </c>
      <c r="G1058" s="560" t="s">
        <v>286</v>
      </c>
      <c r="H1058" s="566">
        <v>3.6746143057503509</v>
      </c>
      <c r="I1058" s="567" t="s">
        <v>489</v>
      </c>
      <c r="J1058" s="568" t="s">
        <v>288</v>
      </c>
      <c r="L1058" s="373">
        <v>1</v>
      </c>
    </row>
    <row r="1059" spans="1:12">
      <c r="A1059" s="565">
        <v>1054</v>
      </c>
      <c r="B1059" s="560" t="s">
        <v>277</v>
      </c>
      <c r="C1059" s="560" t="s">
        <v>515</v>
      </c>
      <c r="D1059" s="560" t="s">
        <v>292</v>
      </c>
      <c r="E1059" s="560">
        <v>189</v>
      </c>
      <c r="F1059" s="560">
        <v>11</v>
      </c>
      <c r="G1059" s="560" t="s">
        <v>286</v>
      </c>
      <c r="H1059" s="566">
        <v>5.3015427769985974</v>
      </c>
      <c r="I1059" s="567" t="s">
        <v>288</v>
      </c>
      <c r="J1059" s="568" t="s">
        <v>288</v>
      </c>
      <c r="L1059" s="373">
        <v>1</v>
      </c>
    </row>
    <row r="1060" spans="1:12">
      <c r="A1060" s="565">
        <v>1055</v>
      </c>
      <c r="B1060" s="560" t="s">
        <v>278</v>
      </c>
      <c r="C1060" s="560" t="s">
        <v>515</v>
      </c>
      <c r="D1060" s="560" t="s">
        <v>292</v>
      </c>
      <c r="E1060" s="560">
        <v>127</v>
      </c>
      <c r="F1060" s="560">
        <v>3</v>
      </c>
      <c r="G1060" s="560" t="s">
        <v>286</v>
      </c>
      <c r="H1060" s="566">
        <v>3.562412342215989</v>
      </c>
      <c r="I1060" s="567" t="s">
        <v>288</v>
      </c>
      <c r="J1060" s="568" t="s">
        <v>288</v>
      </c>
      <c r="L1060" s="373">
        <v>1</v>
      </c>
    </row>
    <row r="1061" spans="1:12">
      <c r="A1061" s="565">
        <v>1056</v>
      </c>
      <c r="B1061" s="560" t="s">
        <v>278</v>
      </c>
      <c r="C1061" s="560" t="s">
        <v>515</v>
      </c>
      <c r="D1061" s="560" t="s">
        <v>291</v>
      </c>
      <c r="E1061" s="560">
        <v>122</v>
      </c>
      <c r="F1061" s="560">
        <v>4</v>
      </c>
      <c r="G1061" s="560" t="s">
        <v>286</v>
      </c>
      <c r="H1061" s="566">
        <v>3.4221598877980366</v>
      </c>
      <c r="I1061" s="567" t="s">
        <v>464</v>
      </c>
      <c r="J1061" s="568" t="s">
        <v>288</v>
      </c>
      <c r="L1061" s="373">
        <v>1</v>
      </c>
    </row>
    <row r="1062" spans="1:12">
      <c r="A1062" s="565">
        <v>1057</v>
      </c>
      <c r="B1062" s="560" t="s">
        <v>278</v>
      </c>
      <c r="C1062" s="560" t="s">
        <v>515</v>
      </c>
      <c r="D1062" s="560" t="s">
        <v>291</v>
      </c>
      <c r="E1062" s="560">
        <v>124</v>
      </c>
      <c r="F1062" s="560">
        <v>5</v>
      </c>
      <c r="G1062" s="560" t="s">
        <v>286</v>
      </c>
      <c r="H1062" s="566">
        <v>3.4782608695652177</v>
      </c>
      <c r="I1062" s="567" t="s">
        <v>464</v>
      </c>
      <c r="J1062" s="568" t="s">
        <v>288</v>
      </c>
      <c r="L1062" s="373">
        <v>1</v>
      </c>
    </row>
    <row r="1063" spans="1:12" ht="21">
      <c r="A1063" s="565">
        <v>1058</v>
      </c>
      <c r="B1063" s="560" t="s">
        <v>278</v>
      </c>
      <c r="C1063" s="560" t="s">
        <v>515</v>
      </c>
      <c r="D1063" s="560" t="s">
        <v>291</v>
      </c>
      <c r="E1063" s="560">
        <v>135</v>
      </c>
      <c r="F1063" s="560">
        <v>3</v>
      </c>
      <c r="G1063" s="560" t="s">
        <v>286</v>
      </c>
      <c r="H1063" s="566">
        <v>3.7868162692847127</v>
      </c>
      <c r="I1063" s="567" t="s">
        <v>489</v>
      </c>
      <c r="J1063" s="568" t="s">
        <v>288</v>
      </c>
      <c r="L1063" s="373">
        <v>1</v>
      </c>
    </row>
    <row r="1064" spans="1:12">
      <c r="A1064" s="565">
        <v>1059</v>
      </c>
      <c r="B1064" s="560" t="s">
        <v>278</v>
      </c>
      <c r="C1064" s="560" t="s">
        <v>515</v>
      </c>
      <c r="D1064" s="560" t="s">
        <v>291</v>
      </c>
      <c r="E1064" s="560">
        <v>153</v>
      </c>
      <c r="F1064" s="560">
        <v>5</v>
      </c>
      <c r="G1064" s="560" t="s">
        <v>286</v>
      </c>
      <c r="H1064" s="566">
        <v>4.2917251051893412</v>
      </c>
      <c r="I1064" s="567" t="s">
        <v>288</v>
      </c>
      <c r="J1064" s="568" t="s">
        <v>288</v>
      </c>
      <c r="L1064" s="373">
        <v>1</v>
      </c>
    </row>
    <row r="1065" spans="1:12">
      <c r="A1065" s="565">
        <v>1060</v>
      </c>
      <c r="B1065" s="560" t="s">
        <v>278</v>
      </c>
      <c r="C1065" s="560" t="s">
        <v>515</v>
      </c>
      <c r="D1065" s="560" t="s">
        <v>292</v>
      </c>
      <c r="E1065" s="560">
        <v>132</v>
      </c>
      <c r="F1065" s="560">
        <v>4</v>
      </c>
      <c r="G1065" s="560" t="s">
        <v>286</v>
      </c>
      <c r="H1065" s="566">
        <v>3.7026647966339414</v>
      </c>
      <c r="I1065" s="567" t="s">
        <v>464</v>
      </c>
      <c r="J1065" s="568" t="s">
        <v>288</v>
      </c>
      <c r="L1065" s="373">
        <v>1</v>
      </c>
    </row>
    <row r="1066" spans="1:12">
      <c r="A1066" s="565">
        <v>1061</v>
      </c>
      <c r="B1066" s="560" t="s">
        <v>278</v>
      </c>
      <c r="C1066" s="560" t="s">
        <v>515</v>
      </c>
      <c r="D1066" s="560" t="s">
        <v>291</v>
      </c>
      <c r="E1066" s="560">
        <v>129</v>
      </c>
      <c r="F1066" s="560">
        <v>3</v>
      </c>
      <c r="G1066" s="560" t="s">
        <v>286</v>
      </c>
      <c r="H1066" s="566">
        <v>3.6185133239831697</v>
      </c>
      <c r="I1066" s="567" t="s">
        <v>464</v>
      </c>
      <c r="J1066" s="568" t="s">
        <v>288</v>
      </c>
      <c r="L1066" s="373">
        <v>1</v>
      </c>
    </row>
    <row r="1067" spans="1:12">
      <c r="A1067" s="565">
        <v>1062</v>
      </c>
      <c r="B1067" s="560" t="s">
        <v>278</v>
      </c>
      <c r="C1067" s="560" t="s">
        <v>515</v>
      </c>
      <c r="D1067" s="560" t="s">
        <v>291</v>
      </c>
      <c r="E1067" s="560">
        <v>142</v>
      </c>
      <c r="F1067" s="560">
        <v>3</v>
      </c>
      <c r="G1067" s="560" t="s">
        <v>286</v>
      </c>
      <c r="H1067" s="566">
        <v>3.9831697054698458</v>
      </c>
      <c r="I1067" s="567" t="s">
        <v>288</v>
      </c>
      <c r="J1067" s="568" t="s">
        <v>288</v>
      </c>
      <c r="L1067" s="373">
        <v>1</v>
      </c>
    </row>
    <row r="1068" spans="1:12">
      <c r="A1068" s="565">
        <v>1063</v>
      </c>
      <c r="B1068" s="560" t="s">
        <v>278</v>
      </c>
      <c r="C1068" s="560" t="s">
        <v>515</v>
      </c>
      <c r="D1068" s="560" t="s">
        <v>292</v>
      </c>
      <c r="E1068" s="560">
        <v>152</v>
      </c>
      <c r="F1068" s="560">
        <v>5</v>
      </c>
      <c r="G1068" s="560" t="s">
        <v>286</v>
      </c>
      <c r="H1068" s="566">
        <v>4.2636746143057502</v>
      </c>
      <c r="I1068" s="567" t="s">
        <v>288</v>
      </c>
      <c r="J1068" s="568" t="s">
        <v>288</v>
      </c>
      <c r="L1068" s="373">
        <v>1</v>
      </c>
    </row>
    <row r="1069" spans="1:12" ht="21">
      <c r="A1069" s="565">
        <v>1064</v>
      </c>
      <c r="B1069" s="560" t="s">
        <v>278</v>
      </c>
      <c r="C1069" s="560" t="s">
        <v>515</v>
      </c>
      <c r="D1069" s="560" t="s">
        <v>293</v>
      </c>
      <c r="E1069" s="560">
        <v>129</v>
      </c>
      <c r="F1069" s="560">
        <v>4</v>
      </c>
      <c r="G1069" s="560" t="s">
        <v>286</v>
      </c>
      <c r="H1069" s="566">
        <v>3.6185133239831697</v>
      </c>
      <c r="I1069" s="567" t="s">
        <v>489</v>
      </c>
      <c r="J1069" s="568" t="s">
        <v>288</v>
      </c>
      <c r="L1069" s="373">
        <v>1</v>
      </c>
    </row>
    <row r="1070" spans="1:12">
      <c r="A1070" s="565">
        <v>1065</v>
      </c>
      <c r="B1070" s="560" t="s">
        <v>277</v>
      </c>
      <c r="C1070" s="560" t="s">
        <v>516</v>
      </c>
      <c r="D1070" s="560">
        <v>1970</v>
      </c>
      <c r="E1070" s="560">
        <v>345</v>
      </c>
      <c r="F1070" s="560">
        <v>15</v>
      </c>
      <c r="G1070" s="560" t="s">
        <v>286</v>
      </c>
      <c r="H1070" s="566">
        <v>9.67741935483871</v>
      </c>
      <c r="I1070" s="567" t="s">
        <v>464</v>
      </c>
      <c r="J1070" s="568" t="s">
        <v>288</v>
      </c>
      <c r="L1070" s="373">
        <v>1</v>
      </c>
    </row>
    <row r="1071" spans="1:12" ht="21">
      <c r="A1071" s="565">
        <v>1066</v>
      </c>
      <c r="B1071" s="560" t="s">
        <v>277</v>
      </c>
      <c r="C1071" s="560" t="s">
        <v>517</v>
      </c>
      <c r="D1071" s="560">
        <v>1964</v>
      </c>
      <c r="E1071" s="560">
        <v>383</v>
      </c>
      <c r="F1071" s="560">
        <v>15</v>
      </c>
      <c r="G1071" s="560" t="s">
        <v>286</v>
      </c>
      <c r="H1071" s="566">
        <v>10.743338008415147</v>
      </c>
      <c r="I1071" s="567" t="s">
        <v>466</v>
      </c>
      <c r="J1071" s="568" t="s">
        <v>468</v>
      </c>
      <c r="L1071" s="373">
        <v>1</v>
      </c>
    </row>
    <row r="1072" spans="1:12">
      <c r="A1072" s="565">
        <v>1067</v>
      </c>
      <c r="B1072" s="560" t="s">
        <v>277</v>
      </c>
      <c r="C1072" s="560" t="s">
        <v>517</v>
      </c>
      <c r="D1072" s="560">
        <v>1960</v>
      </c>
      <c r="E1072" s="560">
        <v>350</v>
      </c>
      <c r="F1072" s="560">
        <v>13</v>
      </c>
      <c r="G1072" s="560" t="s">
        <v>286</v>
      </c>
      <c r="H1072" s="566">
        <v>9.8176718092566624</v>
      </c>
      <c r="I1072" s="567" t="s">
        <v>464</v>
      </c>
      <c r="J1072" s="568" t="s">
        <v>288</v>
      </c>
      <c r="L1072" s="373">
        <v>1</v>
      </c>
    </row>
    <row r="1073" spans="1:12" ht="21">
      <c r="A1073" s="565">
        <v>1068</v>
      </c>
      <c r="B1073" s="560" t="s">
        <v>277</v>
      </c>
      <c r="C1073" s="560" t="s">
        <v>518</v>
      </c>
      <c r="D1073" s="560">
        <v>1960</v>
      </c>
      <c r="E1073" s="560">
        <v>848</v>
      </c>
      <c r="F1073" s="560">
        <v>34</v>
      </c>
      <c r="G1073" s="560" t="s">
        <v>286</v>
      </c>
      <c r="H1073" s="566">
        <v>23.786816269284714</v>
      </c>
      <c r="I1073" s="567" t="s">
        <v>519</v>
      </c>
      <c r="J1073" s="568" t="s">
        <v>468</v>
      </c>
      <c r="L1073" s="373">
        <v>1</v>
      </c>
    </row>
    <row r="1074" spans="1:12">
      <c r="A1074" s="565">
        <v>1069</v>
      </c>
      <c r="B1074" s="560" t="s">
        <v>277</v>
      </c>
      <c r="C1074" s="560" t="s">
        <v>518</v>
      </c>
      <c r="D1074" s="560">
        <v>1924</v>
      </c>
      <c r="E1074" s="560">
        <v>620</v>
      </c>
      <c r="F1074" s="560">
        <v>20</v>
      </c>
      <c r="G1074" s="560" t="s">
        <v>286</v>
      </c>
      <c r="H1074" s="566">
        <v>17.391304347826086</v>
      </c>
      <c r="I1074" s="567" t="s">
        <v>464</v>
      </c>
      <c r="J1074" s="568" t="s">
        <v>288</v>
      </c>
      <c r="L1074" s="373">
        <v>1</v>
      </c>
    </row>
    <row r="1075" spans="1:12">
      <c r="A1075" s="565">
        <v>1070</v>
      </c>
      <c r="B1075" s="560" t="s">
        <v>277</v>
      </c>
      <c r="C1075" s="560" t="s">
        <v>518</v>
      </c>
      <c r="D1075" s="560">
        <v>1924</v>
      </c>
      <c r="E1075" s="560">
        <v>396</v>
      </c>
      <c r="F1075" s="560">
        <v>11</v>
      </c>
      <c r="G1075" s="560" t="s">
        <v>286</v>
      </c>
      <c r="H1075" s="566">
        <v>11.107994389901824</v>
      </c>
      <c r="I1075" s="567" t="s">
        <v>464</v>
      </c>
      <c r="J1075" s="568" t="s">
        <v>288</v>
      </c>
      <c r="L1075" s="373">
        <v>1</v>
      </c>
    </row>
    <row r="1076" spans="1:12">
      <c r="A1076" s="565">
        <v>1071</v>
      </c>
      <c r="B1076" s="560" t="s">
        <v>277</v>
      </c>
      <c r="C1076" s="560" t="s">
        <v>518</v>
      </c>
      <c r="D1076" s="560">
        <v>1930</v>
      </c>
      <c r="E1076" s="560">
        <v>408</v>
      </c>
      <c r="F1076" s="560">
        <v>14</v>
      </c>
      <c r="G1076" s="560" t="s">
        <v>286</v>
      </c>
      <c r="H1076" s="566">
        <v>11.444600280504909</v>
      </c>
      <c r="I1076" s="567" t="s">
        <v>464</v>
      </c>
      <c r="J1076" s="568" t="s">
        <v>288</v>
      </c>
      <c r="L1076" s="373">
        <v>1</v>
      </c>
    </row>
    <row r="1077" spans="1:12">
      <c r="A1077" s="565">
        <v>1072</v>
      </c>
      <c r="B1077" s="560" t="s">
        <v>277</v>
      </c>
      <c r="C1077" s="560" t="s">
        <v>518</v>
      </c>
      <c r="D1077" s="560">
        <v>1910</v>
      </c>
      <c r="E1077" s="560">
        <v>156</v>
      </c>
      <c r="F1077" s="560">
        <v>8</v>
      </c>
      <c r="G1077" s="560" t="s">
        <v>286</v>
      </c>
      <c r="H1077" s="566">
        <v>4.3758765778401125</v>
      </c>
      <c r="I1077" s="567" t="s">
        <v>464</v>
      </c>
      <c r="J1077" s="568" t="s">
        <v>288</v>
      </c>
      <c r="L1077" s="373">
        <v>1</v>
      </c>
    </row>
    <row r="1078" spans="1:12">
      <c r="A1078" s="565">
        <v>1073</v>
      </c>
      <c r="B1078" s="560" t="s">
        <v>278</v>
      </c>
      <c r="C1078" s="560" t="s">
        <v>518</v>
      </c>
      <c r="D1078" s="560">
        <v>1910</v>
      </c>
      <c r="E1078" s="560">
        <v>201</v>
      </c>
      <c r="F1078" s="560">
        <v>5</v>
      </c>
      <c r="G1078" s="560" t="s">
        <v>286</v>
      </c>
      <c r="H1078" s="566">
        <v>5.6381486676016834</v>
      </c>
      <c r="I1078" s="567" t="s">
        <v>464</v>
      </c>
      <c r="J1078" s="568" t="s">
        <v>288</v>
      </c>
      <c r="L1078" s="373">
        <v>1</v>
      </c>
    </row>
    <row r="1079" spans="1:12">
      <c r="A1079" s="565">
        <v>1074</v>
      </c>
      <c r="B1079" s="560" t="s">
        <v>277</v>
      </c>
      <c r="C1079" s="560" t="s">
        <v>518</v>
      </c>
      <c r="D1079" s="560">
        <v>1910</v>
      </c>
      <c r="E1079" s="560">
        <v>202</v>
      </c>
      <c r="F1079" s="560">
        <v>11</v>
      </c>
      <c r="G1079" s="560" t="s">
        <v>286</v>
      </c>
      <c r="H1079" s="566">
        <v>5.6661991584852736</v>
      </c>
      <c r="I1079" s="567" t="s">
        <v>464</v>
      </c>
      <c r="J1079" s="568" t="s">
        <v>288</v>
      </c>
      <c r="L1079" s="373">
        <v>1</v>
      </c>
    </row>
    <row r="1080" spans="1:12">
      <c r="A1080" s="565">
        <v>1075</v>
      </c>
      <c r="B1080" s="560" t="s">
        <v>277</v>
      </c>
      <c r="C1080" s="560" t="s">
        <v>518</v>
      </c>
      <c r="D1080" s="560">
        <v>1924</v>
      </c>
      <c r="E1080" s="560">
        <v>380</v>
      </c>
      <c r="F1080" s="560">
        <v>13</v>
      </c>
      <c r="G1080" s="560" t="s">
        <v>286</v>
      </c>
      <c r="H1080" s="566">
        <v>10.659186535764377</v>
      </c>
      <c r="I1080" s="567" t="s">
        <v>464</v>
      </c>
      <c r="J1080" s="568" t="s">
        <v>288</v>
      </c>
      <c r="L1080" s="373">
        <v>1</v>
      </c>
    </row>
    <row r="1081" spans="1:12">
      <c r="A1081" s="565">
        <v>1076</v>
      </c>
      <c r="B1081" s="560" t="s">
        <v>277</v>
      </c>
      <c r="C1081" s="560" t="s">
        <v>518</v>
      </c>
      <c r="D1081" s="560">
        <v>1900</v>
      </c>
      <c r="E1081" s="560">
        <v>744</v>
      </c>
      <c r="F1081" s="560">
        <v>20</v>
      </c>
      <c r="G1081" s="560" t="s">
        <v>286</v>
      </c>
      <c r="H1081" s="566">
        <v>20.869565217391305</v>
      </c>
      <c r="I1081" s="567" t="s">
        <v>464</v>
      </c>
      <c r="J1081" s="568" t="s">
        <v>288</v>
      </c>
      <c r="L1081" s="373">
        <v>1</v>
      </c>
    </row>
    <row r="1082" spans="1:12">
      <c r="A1082" s="565">
        <v>1077</v>
      </c>
      <c r="B1082" s="560" t="s">
        <v>277</v>
      </c>
      <c r="C1082" s="560" t="s">
        <v>518</v>
      </c>
      <c r="D1082" s="560">
        <v>1924</v>
      </c>
      <c r="E1082" s="560">
        <v>352</v>
      </c>
      <c r="F1082" s="560"/>
      <c r="G1082" s="560" t="s">
        <v>286</v>
      </c>
      <c r="H1082" s="566">
        <v>9.8737727910238426</v>
      </c>
      <c r="I1082" s="567" t="s">
        <v>464</v>
      </c>
      <c r="J1082" s="568" t="s">
        <v>288</v>
      </c>
      <c r="L1082" s="373">
        <v>1</v>
      </c>
    </row>
    <row r="1083" spans="1:12" ht="21">
      <c r="A1083" s="565">
        <v>1078</v>
      </c>
      <c r="B1083" s="560" t="s">
        <v>277</v>
      </c>
      <c r="C1083" s="560" t="s">
        <v>518</v>
      </c>
      <c r="D1083" s="560">
        <v>1971</v>
      </c>
      <c r="E1083" s="560">
        <v>385</v>
      </c>
      <c r="F1083" s="560">
        <v>18</v>
      </c>
      <c r="G1083" s="560" t="s">
        <v>286</v>
      </c>
      <c r="H1083" s="566">
        <v>10.799438990182329</v>
      </c>
      <c r="I1083" s="567" t="s">
        <v>492</v>
      </c>
      <c r="J1083" s="568" t="s">
        <v>288</v>
      </c>
      <c r="L1083" s="373">
        <v>1</v>
      </c>
    </row>
    <row r="1084" spans="1:12">
      <c r="A1084" s="565">
        <v>1079</v>
      </c>
      <c r="B1084" s="560" t="s">
        <v>278</v>
      </c>
      <c r="C1084" s="560" t="s">
        <v>518</v>
      </c>
      <c r="D1084" s="560" t="s">
        <v>291</v>
      </c>
      <c r="E1084" s="560">
        <v>148</v>
      </c>
      <c r="F1084" s="560">
        <v>6</v>
      </c>
      <c r="G1084" s="560" t="s">
        <v>286</v>
      </c>
      <c r="H1084" s="566">
        <v>4.1514726507713888</v>
      </c>
      <c r="I1084" s="567" t="s">
        <v>464</v>
      </c>
      <c r="J1084" s="568" t="s">
        <v>288</v>
      </c>
      <c r="L1084" s="373">
        <v>1</v>
      </c>
    </row>
    <row r="1085" spans="1:12">
      <c r="A1085" s="565">
        <v>1080</v>
      </c>
      <c r="B1085" s="560" t="s">
        <v>278</v>
      </c>
      <c r="C1085" s="560" t="s">
        <v>518</v>
      </c>
      <c r="D1085" s="560" t="s">
        <v>291</v>
      </c>
      <c r="E1085" s="560">
        <v>114</v>
      </c>
      <c r="F1085" s="560">
        <v>5</v>
      </c>
      <c r="G1085" s="560" t="s">
        <v>286</v>
      </c>
      <c r="H1085" s="566">
        <v>3.1977559607293129</v>
      </c>
      <c r="I1085" s="567" t="s">
        <v>499</v>
      </c>
      <c r="J1085" s="568" t="s">
        <v>288</v>
      </c>
      <c r="L1085" s="373">
        <v>1</v>
      </c>
    </row>
    <row r="1086" spans="1:12">
      <c r="A1086" s="565">
        <v>1081</v>
      </c>
      <c r="B1086" s="560" t="s">
        <v>278</v>
      </c>
      <c r="C1086" s="560" t="s">
        <v>518</v>
      </c>
      <c r="D1086" s="560" t="s">
        <v>291</v>
      </c>
      <c r="E1086" s="560">
        <v>113</v>
      </c>
      <c r="F1086" s="560">
        <v>3</v>
      </c>
      <c r="G1086" s="560" t="s">
        <v>286</v>
      </c>
      <c r="H1086" s="566">
        <v>3.1697054698457223</v>
      </c>
      <c r="I1086" s="567" t="s">
        <v>499</v>
      </c>
      <c r="J1086" s="568" t="s">
        <v>288</v>
      </c>
      <c r="L1086" s="373">
        <v>1</v>
      </c>
    </row>
    <row r="1087" spans="1:12" ht="21">
      <c r="A1087" s="565">
        <v>1082</v>
      </c>
      <c r="B1087" s="560" t="s">
        <v>278</v>
      </c>
      <c r="C1087" s="560" t="s">
        <v>518</v>
      </c>
      <c r="D1087" s="560" t="s">
        <v>294</v>
      </c>
      <c r="E1087" s="560">
        <v>162</v>
      </c>
      <c r="F1087" s="560">
        <v>4</v>
      </c>
      <c r="G1087" s="560" t="s">
        <v>286</v>
      </c>
      <c r="H1087" s="566">
        <v>4.5441795231416551</v>
      </c>
      <c r="I1087" s="567" t="s">
        <v>489</v>
      </c>
      <c r="J1087" s="568" t="s">
        <v>288</v>
      </c>
      <c r="L1087" s="373">
        <v>1</v>
      </c>
    </row>
    <row r="1088" spans="1:12">
      <c r="A1088" s="565">
        <v>1083</v>
      </c>
      <c r="B1088" s="560" t="s">
        <v>278</v>
      </c>
      <c r="C1088" s="560" t="s">
        <v>518</v>
      </c>
      <c r="D1088" s="560" t="s">
        <v>292</v>
      </c>
      <c r="E1088" s="560">
        <v>154</v>
      </c>
      <c r="F1088" s="560">
        <v>5</v>
      </c>
      <c r="G1088" s="560" t="s">
        <v>286</v>
      </c>
      <c r="H1088" s="566">
        <v>4.3197755960729314</v>
      </c>
      <c r="I1088" s="567" t="s">
        <v>464</v>
      </c>
      <c r="J1088" s="568" t="s">
        <v>288</v>
      </c>
      <c r="L1088" s="373">
        <v>1</v>
      </c>
    </row>
    <row r="1089" spans="1:12" ht="21">
      <c r="A1089" s="565">
        <v>1084</v>
      </c>
      <c r="B1089" s="560" t="s">
        <v>278</v>
      </c>
      <c r="C1089" s="560" t="s">
        <v>518</v>
      </c>
      <c r="D1089" s="560" t="s">
        <v>291</v>
      </c>
      <c r="E1089" s="560">
        <v>141</v>
      </c>
      <c r="F1089" s="560">
        <v>3</v>
      </c>
      <c r="G1089" s="560" t="s">
        <v>286</v>
      </c>
      <c r="H1089" s="566">
        <v>3.9551192145862553</v>
      </c>
      <c r="I1089" s="567" t="s">
        <v>489</v>
      </c>
      <c r="J1089" s="568" t="s">
        <v>288</v>
      </c>
      <c r="L1089" s="373">
        <v>1</v>
      </c>
    </row>
    <row r="1090" spans="1:12" ht="21">
      <c r="A1090" s="565">
        <v>1085</v>
      </c>
      <c r="B1090" s="560" t="s">
        <v>278</v>
      </c>
      <c r="C1090" s="560" t="s">
        <v>518</v>
      </c>
      <c r="D1090" s="560" t="s">
        <v>292</v>
      </c>
      <c r="E1090" s="560">
        <v>145</v>
      </c>
      <c r="F1090" s="560">
        <v>4</v>
      </c>
      <c r="G1090" s="560" t="s">
        <v>286</v>
      </c>
      <c r="H1090" s="566">
        <v>4.0673211781206176</v>
      </c>
      <c r="I1090" s="567" t="s">
        <v>464</v>
      </c>
      <c r="J1090" s="568" t="s">
        <v>506</v>
      </c>
      <c r="L1090" s="373">
        <v>1</v>
      </c>
    </row>
    <row r="1091" spans="1:12">
      <c r="A1091" s="565">
        <v>1086</v>
      </c>
      <c r="B1091" s="560" t="s">
        <v>278</v>
      </c>
      <c r="C1091" s="560" t="s">
        <v>518</v>
      </c>
      <c r="D1091" s="560" t="s">
        <v>291</v>
      </c>
      <c r="E1091" s="560">
        <v>158</v>
      </c>
      <c r="F1091" s="560">
        <v>5</v>
      </c>
      <c r="G1091" s="560" t="s">
        <v>286</v>
      </c>
      <c r="H1091" s="566">
        <v>4.4319775596072937</v>
      </c>
      <c r="I1091" s="567" t="s">
        <v>464</v>
      </c>
      <c r="J1091" s="568" t="s">
        <v>288</v>
      </c>
      <c r="L1091" s="373">
        <v>1</v>
      </c>
    </row>
    <row r="1092" spans="1:12">
      <c r="A1092" s="565">
        <v>1087</v>
      </c>
      <c r="B1092" s="560" t="s">
        <v>278</v>
      </c>
      <c r="C1092" s="560" t="s">
        <v>518</v>
      </c>
      <c r="D1092" s="560" t="s">
        <v>291</v>
      </c>
      <c r="E1092" s="560">
        <v>139</v>
      </c>
      <c r="F1092" s="560">
        <v>4</v>
      </c>
      <c r="G1092" s="560" t="s">
        <v>286</v>
      </c>
      <c r="H1092" s="566">
        <v>3.8990182328190746</v>
      </c>
      <c r="I1092" s="567" t="s">
        <v>464</v>
      </c>
      <c r="J1092" s="568" t="s">
        <v>288</v>
      </c>
      <c r="L1092" s="373">
        <v>1</v>
      </c>
    </row>
    <row r="1093" spans="1:12">
      <c r="A1093" s="565">
        <v>1088</v>
      </c>
      <c r="B1093" s="560" t="s">
        <v>278</v>
      </c>
      <c r="C1093" s="560" t="s">
        <v>518</v>
      </c>
      <c r="D1093" s="560" t="s">
        <v>292</v>
      </c>
      <c r="E1093" s="560">
        <v>119</v>
      </c>
      <c r="F1093" s="560">
        <v>3</v>
      </c>
      <c r="G1093" s="560" t="s">
        <v>286</v>
      </c>
      <c r="H1093" s="566">
        <v>3.3380084151472653</v>
      </c>
      <c r="I1093" s="567" t="s">
        <v>499</v>
      </c>
      <c r="J1093" s="568" t="s">
        <v>288</v>
      </c>
      <c r="L1093" s="373">
        <v>1</v>
      </c>
    </row>
    <row r="1094" spans="1:12">
      <c r="A1094" s="565">
        <v>1089</v>
      </c>
      <c r="B1094" s="560" t="s">
        <v>278</v>
      </c>
      <c r="C1094" s="560" t="s">
        <v>518</v>
      </c>
      <c r="D1094" s="560" t="s">
        <v>293</v>
      </c>
      <c r="E1094" s="560">
        <v>152</v>
      </c>
      <c r="F1094" s="560">
        <v>4</v>
      </c>
      <c r="G1094" s="560" t="s">
        <v>286</v>
      </c>
      <c r="H1094" s="566">
        <v>4.2636746143057502</v>
      </c>
      <c r="I1094" s="567" t="s">
        <v>499</v>
      </c>
      <c r="J1094" s="568" t="s">
        <v>288</v>
      </c>
      <c r="L1094" s="373">
        <v>1</v>
      </c>
    </row>
    <row r="1095" spans="1:12" ht="21">
      <c r="A1095" s="565">
        <v>1090</v>
      </c>
      <c r="B1095" s="560" t="s">
        <v>278</v>
      </c>
      <c r="C1095" s="560" t="s">
        <v>518</v>
      </c>
      <c r="D1095" s="560" t="s">
        <v>291</v>
      </c>
      <c r="E1095" s="560">
        <v>121</v>
      </c>
      <c r="F1095" s="560">
        <v>4</v>
      </c>
      <c r="G1095" s="560" t="s">
        <v>286</v>
      </c>
      <c r="H1095" s="566">
        <v>3.394109396914446</v>
      </c>
      <c r="I1095" s="567" t="s">
        <v>464</v>
      </c>
      <c r="J1095" s="568" t="s">
        <v>506</v>
      </c>
      <c r="L1095" s="373">
        <v>1</v>
      </c>
    </row>
    <row r="1096" spans="1:12">
      <c r="A1096" s="565">
        <v>1091</v>
      </c>
      <c r="B1096" s="560" t="s">
        <v>278</v>
      </c>
      <c r="C1096" s="560" t="s">
        <v>518</v>
      </c>
      <c r="D1096" s="560" t="s">
        <v>291</v>
      </c>
      <c r="E1096" s="560">
        <v>221</v>
      </c>
      <c r="F1096" s="560">
        <v>6</v>
      </c>
      <c r="G1096" s="560" t="s">
        <v>286</v>
      </c>
      <c r="H1096" s="566">
        <v>6.1991584852734922</v>
      </c>
      <c r="I1096" s="567" t="s">
        <v>499</v>
      </c>
      <c r="J1096" s="568" t="s">
        <v>288</v>
      </c>
      <c r="L1096" s="373">
        <v>1</v>
      </c>
    </row>
    <row r="1097" spans="1:12" ht="21">
      <c r="A1097" s="565">
        <v>1092</v>
      </c>
      <c r="B1097" s="560" t="s">
        <v>278</v>
      </c>
      <c r="C1097" s="560" t="s">
        <v>518</v>
      </c>
      <c r="D1097" s="560" t="s">
        <v>291</v>
      </c>
      <c r="E1097" s="560">
        <v>210</v>
      </c>
      <c r="F1097" s="560">
        <v>7</v>
      </c>
      <c r="G1097" s="560" t="s">
        <v>286</v>
      </c>
      <c r="H1097" s="566">
        <v>5.8906030855539973</v>
      </c>
      <c r="I1097" s="567" t="s">
        <v>489</v>
      </c>
      <c r="J1097" s="568" t="s">
        <v>288</v>
      </c>
      <c r="L1097" s="373">
        <v>1</v>
      </c>
    </row>
    <row r="1098" spans="1:12" ht="21">
      <c r="A1098" s="565">
        <v>1093</v>
      </c>
      <c r="B1098" s="560" t="s">
        <v>278</v>
      </c>
      <c r="C1098" s="560" t="s">
        <v>518</v>
      </c>
      <c r="D1098" s="560" t="s">
        <v>291</v>
      </c>
      <c r="E1098" s="560">
        <v>114</v>
      </c>
      <c r="F1098" s="560">
        <v>3</v>
      </c>
      <c r="G1098" s="560" t="s">
        <v>286</v>
      </c>
      <c r="H1098" s="566">
        <v>3.1977559607293129</v>
      </c>
      <c r="I1098" s="567" t="s">
        <v>489</v>
      </c>
      <c r="J1098" s="568" t="s">
        <v>288</v>
      </c>
      <c r="L1098" s="373">
        <v>1</v>
      </c>
    </row>
    <row r="1099" spans="1:12" ht="21">
      <c r="A1099" s="565">
        <v>1094</v>
      </c>
      <c r="B1099" s="560" t="s">
        <v>278</v>
      </c>
      <c r="C1099" s="560" t="s">
        <v>518</v>
      </c>
      <c r="D1099" s="560" t="s">
        <v>291</v>
      </c>
      <c r="E1099" s="560">
        <v>115</v>
      </c>
      <c r="F1099" s="560">
        <v>4</v>
      </c>
      <c r="G1099" s="560" t="s">
        <v>286</v>
      </c>
      <c r="H1099" s="566">
        <v>3.2258064516129035</v>
      </c>
      <c r="I1099" s="567" t="s">
        <v>464</v>
      </c>
      <c r="J1099" s="568" t="s">
        <v>506</v>
      </c>
      <c r="L1099" s="373">
        <v>1</v>
      </c>
    </row>
    <row r="1100" spans="1:12">
      <c r="A1100" s="565">
        <v>1095</v>
      </c>
      <c r="B1100" s="560" t="s">
        <v>278</v>
      </c>
      <c r="C1100" s="560" t="s">
        <v>518</v>
      </c>
      <c r="D1100" s="560" t="s">
        <v>291</v>
      </c>
      <c r="E1100" s="560">
        <v>113</v>
      </c>
      <c r="F1100" s="560">
        <v>3</v>
      </c>
      <c r="G1100" s="560" t="s">
        <v>286</v>
      </c>
      <c r="H1100" s="566">
        <v>3.1697054698457223</v>
      </c>
      <c r="I1100" s="567" t="s">
        <v>499</v>
      </c>
      <c r="J1100" s="568" t="s">
        <v>500</v>
      </c>
      <c r="L1100" s="373">
        <v>1</v>
      </c>
    </row>
    <row r="1101" spans="1:12">
      <c r="A1101" s="565">
        <v>1096</v>
      </c>
      <c r="B1101" s="560" t="s">
        <v>278</v>
      </c>
      <c r="C1101" s="560" t="s">
        <v>518</v>
      </c>
      <c r="D1101" s="560" t="s">
        <v>291</v>
      </c>
      <c r="E1101" s="560">
        <v>113</v>
      </c>
      <c r="F1101" s="560">
        <v>3</v>
      </c>
      <c r="G1101" s="560" t="s">
        <v>286</v>
      </c>
      <c r="H1101" s="566">
        <v>3.1697054698457223</v>
      </c>
      <c r="I1101" s="567" t="s">
        <v>499</v>
      </c>
      <c r="J1101" s="568" t="s">
        <v>500</v>
      </c>
      <c r="L1101" s="373">
        <v>1</v>
      </c>
    </row>
    <row r="1102" spans="1:12" ht="21">
      <c r="A1102" s="565">
        <v>1097</v>
      </c>
      <c r="B1102" s="560" t="s">
        <v>278</v>
      </c>
      <c r="C1102" s="560" t="s">
        <v>518</v>
      </c>
      <c r="D1102" s="560" t="s">
        <v>291</v>
      </c>
      <c r="E1102" s="560">
        <v>111</v>
      </c>
      <c r="F1102" s="560">
        <v>4</v>
      </c>
      <c r="G1102" s="560" t="s">
        <v>286</v>
      </c>
      <c r="H1102" s="566">
        <v>3.1136044880785416</v>
      </c>
      <c r="I1102" s="567" t="s">
        <v>489</v>
      </c>
      <c r="J1102" s="568" t="s">
        <v>288</v>
      </c>
      <c r="L1102" s="373">
        <v>1</v>
      </c>
    </row>
    <row r="1103" spans="1:12" ht="21">
      <c r="A1103" s="565">
        <v>1098</v>
      </c>
      <c r="B1103" s="560" t="s">
        <v>278</v>
      </c>
      <c r="C1103" s="560" t="s">
        <v>518</v>
      </c>
      <c r="D1103" s="560" t="s">
        <v>291</v>
      </c>
      <c r="E1103" s="560">
        <v>110</v>
      </c>
      <c r="F1103" s="560">
        <v>3</v>
      </c>
      <c r="G1103" s="560" t="s">
        <v>286</v>
      </c>
      <c r="H1103" s="566">
        <v>3.085553997194951</v>
      </c>
      <c r="I1103" s="567" t="s">
        <v>489</v>
      </c>
      <c r="J1103" s="568" t="s">
        <v>288</v>
      </c>
      <c r="L1103" s="373">
        <v>1</v>
      </c>
    </row>
    <row r="1104" spans="1:12" ht="21">
      <c r="A1104" s="565">
        <v>1099</v>
      </c>
      <c r="B1104" s="560" t="s">
        <v>278</v>
      </c>
      <c r="C1104" s="560" t="s">
        <v>518</v>
      </c>
      <c r="D1104" s="560" t="s">
        <v>291</v>
      </c>
      <c r="E1104" s="560">
        <v>144</v>
      </c>
      <c r="F1104" s="560">
        <v>4</v>
      </c>
      <c r="G1104" s="560" t="s">
        <v>286</v>
      </c>
      <c r="H1104" s="566">
        <v>4.0392706872370265</v>
      </c>
      <c r="I1104" s="567" t="s">
        <v>489</v>
      </c>
      <c r="J1104" s="568" t="s">
        <v>288</v>
      </c>
      <c r="L1104" s="373">
        <v>1</v>
      </c>
    </row>
    <row r="1105" spans="1:12">
      <c r="A1105" s="565">
        <v>1100</v>
      </c>
      <c r="B1105" s="560" t="s">
        <v>278</v>
      </c>
      <c r="C1105" s="560" t="s">
        <v>518</v>
      </c>
      <c r="D1105" s="560" t="s">
        <v>291</v>
      </c>
      <c r="E1105" s="560">
        <v>154</v>
      </c>
      <c r="F1105" s="560">
        <v>5</v>
      </c>
      <c r="G1105" s="560" t="s">
        <v>286</v>
      </c>
      <c r="H1105" s="566">
        <v>4.3197755960729314</v>
      </c>
      <c r="I1105" s="567" t="s">
        <v>288</v>
      </c>
      <c r="J1105" s="568" t="s">
        <v>288</v>
      </c>
      <c r="L1105" s="373">
        <v>1</v>
      </c>
    </row>
    <row r="1106" spans="1:12">
      <c r="A1106" s="565">
        <v>1101</v>
      </c>
      <c r="B1106" s="560" t="s">
        <v>278</v>
      </c>
      <c r="C1106" s="560" t="s">
        <v>518</v>
      </c>
      <c r="D1106" s="560" t="s">
        <v>291</v>
      </c>
      <c r="E1106" s="560">
        <v>145</v>
      </c>
      <c r="F1106" s="560">
        <v>3</v>
      </c>
      <c r="G1106" s="560" t="s">
        <v>286</v>
      </c>
      <c r="H1106" s="566">
        <v>4.0673211781206176</v>
      </c>
      <c r="I1106" s="567" t="s">
        <v>288</v>
      </c>
      <c r="J1106" s="568" t="s">
        <v>288</v>
      </c>
      <c r="L1106" s="373">
        <v>1</v>
      </c>
    </row>
    <row r="1107" spans="1:12" ht="21">
      <c r="A1107" s="565">
        <v>1102</v>
      </c>
      <c r="B1107" s="560" t="s">
        <v>278</v>
      </c>
      <c r="C1107" s="560" t="s">
        <v>518</v>
      </c>
      <c r="D1107" s="560" t="s">
        <v>294</v>
      </c>
      <c r="E1107" s="560">
        <v>164</v>
      </c>
      <c r="F1107" s="560">
        <v>5</v>
      </c>
      <c r="G1107" s="560" t="s">
        <v>286</v>
      </c>
      <c r="H1107" s="566">
        <v>4.6002805049088362</v>
      </c>
      <c r="I1107" s="567" t="s">
        <v>489</v>
      </c>
      <c r="J1107" s="568" t="s">
        <v>520</v>
      </c>
      <c r="L1107" s="373">
        <v>1</v>
      </c>
    </row>
    <row r="1108" spans="1:12" ht="21">
      <c r="A1108" s="565">
        <v>1103</v>
      </c>
      <c r="B1108" s="560" t="s">
        <v>278</v>
      </c>
      <c r="C1108" s="560" t="s">
        <v>518</v>
      </c>
      <c r="D1108" s="560" t="s">
        <v>291</v>
      </c>
      <c r="E1108" s="560">
        <v>136</v>
      </c>
      <c r="F1108" s="560">
        <v>4</v>
      </c>
      <c r="G1108" s="560" t="s">
        <v>286</v>
      </c>
      <c r="H1108" s="566">
        <v>3.8148667601683033</v>
      </c>
      <c r="I1108" s="567" t="s">
        <v>489</v>
      </c>
      <c r="J1108" s="568" t="s">
        <v>288</v>
      </c>
      <c r="L1108" s="373">
        <v>1</v>
      </c>
    </row>
    <row r="1109" spans="1:12" ht="21">
      <c r="A1109" s="565">
        <v>1104</v>
      </c>
      <c r="B1109" s="560" t="s">
        <v>278</v>
      </c>
      <c r="C1109" s="560" t="s">
        <v>518</v>
      </c>
      <c r="D1109" s="560" t="s">
        <v>291</v>
      </c>
      <c r="E1109" s="560">
        <v>139</v>
      </c>
      <c r="F1109" s="560">
        <v>3</v>
      </c>
      <c r="G1109" s="560" t="s">
        <v>286</v>
      </c>
      <c r="H1109" s="566">
        <v>3.8990182328190746</v>
      </c>
      <c r="I1109" s="567" t="s">
        <v>489</v>
      </c>
      <c r="J1109" s="568" t="s">
        <v>288</v>
      </c>
      <c r="L1109" s="373">
        <v>1</v>
      </c>
    </row>
    <row r="1110" spans="1:12">
      <c r="A1110" s="565">
        <v>1105</v>
      </c>
      <c r="B1110" s="560" t="s">
        <v>278</v>
      </c>
      <c r="C1110" s="560" t="s">
        <v>518</v>
      </c>
      <c r="D1110" s="560" t="s">
        <v>292</v>
      </c>
      <c r="E1110" s="560">
        <v>145</v>
      </c>
      <c r="F1110" s="560">
        <v>4</v>
      </c>
      <c r="G1110" s="560" t="s">
        <v>286</v>
      </c>
      <c r="H1110" s="566">
        <v>4.0673211781206176</v>
      </c>
      <c r="I1110" s="567" t="s">
        <v>288</v>
      </c>
      <c r="J1110" s="568" t="s">
        <v>288</v>
      </c>
      <c r="L1110" s="373">
        <v>1</v>
      </c>
    </row>
    <row r="1111" spans="1:12">
      <c r="A1111" s="565">
        <v>1106</v>
      </c>
      <c r="B1111" s="560" t="s">
        <v>278</v>
      </c>
      <c r="C1111" s="560" t="s">
        <v>518</v>
      </c>
      <c r="D1111" s="560" t="s">
        <v>521</v>
      </c>
      <c r="E1111" s="560">
        <v>153</v>
      </c>
      <c r="F1111" s="560">
        <v>5</v>
      </c>
      <c r="G1111" s="560" t="s">
        <v>286</v>
      </c>
      <c r="H1111" s="566">
        <v>4.2917251051893412</v>
      </c>
      <c r="I1111" s="567" t="s">
        <v>499</v>
      </c>
      <c r="J1111" s="568" t="s">
        <v>288</v>
      </c>
      <c r="L1111" s="373">
        <v>1</v>
      </c>
    </row>
    <row r="1112" spans="1:12">
      <c r="A1112" s="565">
        <v>1107</v>
      </c>
      <c r="B1112" s="560" t="s">
        <v>278</v>
      </c>
      <c r="C1112" s="560" t="s">
        <v>518</v>
      </c>
      <c r="D1112" s="560" t="s">
        <v>292</v>
      </c>
      <c r="E1112" s="560">
        <v>129</v>
      </c>
      <c r="F1112" s="560">
        <v>3</v>
      </c>
      <c r="G1112" s="560" t="s">
        <v>286</v>
      </c>
      <c r="H1112" s="566">
        <v>3.6185133239831697</v>
      </c>
      <c r="I1112" s="567" t="s">
        <v>499</v>
      </c>
      <c r="J1112" s="568" t="s">
        <v>288</v>
      </c>
      <c r="L1112" s="373">
        <v>1</v>
      </c>
    </row>
    <row r="1113" spans="1:12">
      <c r="A1113" s="565">
        <v>1108</v>
      </c>
      <c r="B1113" s="560" t="s">
        <v>278</v>
      </c>
      <c r="C1113" s="560" t="s">
        <v>518</v>
      </c>
      <c r="D1113" s="560" t="s">
        <v>292</v>
      </c>
      <c r="E1113" s="560">
        <v>128</v>
      </c>
      <c r="F1113" s="560">
        <v>4</v>
      </c>
      <c r="G1113" s="560" t="s">
        <v>286</v>
      </c>
      <c r="H1113" s="566">
        <v>3.5904628330995796</v>
      </c>
      <c r="I1113" s="567" t="s">
        <v>288</v>
      </c>
      <c r="J1113" s="568" t="s">
        <v>288</v>
      </c>
      <c r="L1113" s="373">
        <v>1</v>
      </c>
    </row>
    <row r="1114" spans="1:12" ht="21">
      <c r="A1114" s="565">
        <v>1109</v>
      </c>
      <c r="B1114" s="560" t="s">
        <v>278</v>
      </c>
      <c r="C1114" s="560" t="s">
        <v>518</v>
      </c>
      <c r="D1114" s="560" t="s">
        <v>291</v>
      </c>
      <c r="E1114" s="560">
        <v>142</v>
      </c>
      <c r="F1114" s="560">
        <v>5</v>
      </c>
      <c r="G1114" s="560" t="s">
        <v>286</v>
      </c>
      <c r="H1114" s="566">
        <v>3.9831697054698458</v>
      </c>
      <c r="I1114" s="567" t="s">
        <v>489</v>
      </c>
      <c r="J1114" s="568" t="s">
        <v>288</v>
      </c>
      <c r="L1114" s="373">
        <v>1</v>
      </c>
    </row>
    <row r="1115" spans="1:12">
      <c r="A1115" s="565">
        <v>1110</v>
      </c>
      <c r="B1115" s="560" t="s">
        <v>278</v>
      </c>
      <c r="C1115" s="560" t="s">
        <v>518</v>
      </c>
      <c r="D1115" s="560" t="s">
        <v>291</v>
      </c>
      <c r="E1115" s="560">
        <v>116</v>
      </c>
      <c r="F1115" s="560">
        <v>4</v>
      </c>
      <c r="G1115" s="560" t="s">
        <v>286</v>
      </c>
      <c r="H1115" s="566">
        <v>3.2538569424964936</v>
      </c>
      <c r="I1115" s="567" t="s">
        <v>464</v>
      </c>
      <c r="J1115" s="568" t="s">
        <v>288</v>
      </c>
      <c r="L1115" s="373">
        <v>1</v>
      </c>
    </row>
    <row r="1116" spans="1:12">
      <c r="A1116" s="565">
        <v>1111</v>
      </c>
      <c r="B1116" s="560" t="s">
        <v>278</v>
      </c>
      <c r="C1116" s="560" t="s">
        <v>518</v>
      </c>
      <c r="D1116" s="560" t="s">
        <v>292</v>
      </c>
      <c r="E1116" s="560">
        <v>115</v>
      </c>
      <c r="F1116" s="560">
        <v>3</v>
      </c>
      <c r="G1116" s="560" t="s">
        <v>286</v>
      </c>
      <c r="H1116" s="566">
        <v>3.2258064516129035</v>
      </c>
      <c r="I1116" s="567" t="s">
        <v>288</v>
      </c>
      <c r="J1116" s="568" t="s">
        <v>288</v>
      </c>
      <c r="L1116" s="373">
        <v>1</v>
      </c>
    </row>
    <row r="1117" spans="1:12">
      <c r="A1117" s="565">
        <v>1112</v>
      </c>
      <c r="B1117" s="560" t="s">
        <v>278</v>
      </c>
      <c r="C1117" s="560" t="s">
        <v>518</v>
      </c>
      <c r="D1117" s="560" t="s">
        <v>292</v>
      </c>
      <c r="E1117" s="560">
        <v>112</v>
      </c>
      <c r="F1117" s="560">
        <v>2</v>
      </c>
      <c r="G1117" s="560" t="s">
        <v>286</v>
      </c>
      <c r="H1117" s="566">
        <v>3.1416549789621318</v>
      </c>
      <c r="I1117" s="567" t="s">
        <v>288</v>
      </c>
      <c r="J1117" s="568" t="s">
        <v>288</v>
      </c>
      <c r="L1117" s="373">
        <v>1</v>
      </c>
    </row>
    <row r="1118" spans="1:12" ht="21">
      <c r="A1118" s="565">
        <v>1113</v>
      </c>
      <c r="B1118" s="560" t="s">
        <v>278</v>
      </c>
      <c r="C1118" s="560" t="s">
        <v>518</v>
      </c>
      <c r="D1118" s="560" t="s">
        <v>291</v>
      </c>
      <c r="E1118" s="560">
        <v>132</v>
      </c>
      <c r="F1118" s="560">
        <v>5</v>
      </c>
      <c r="G1118" s="560" t="s">
        <v>286</v>
      </c>
      <c r="H1118" s="566">
        <v>3.7026647966339414</v>
      </c>
      <c r="I1118" s="567" t="s">
        <v>489</v>
      </c>
      <c r="J1118" s="568" t="s">
        <v>288</v>
      </c>
      <c r="L1118" s="373">
        <v>1</v>
      </c>
    </row>
    <row r="1119" spans="1:12" ht="21">
      <c r="A1119" s="565">
        <v>1114</v>
      </c>
      <c r="B1119" s="560" t="s">
        <v>278</v>
      </c>
      <c r="C1119" s="560" t="s">
        <v>518</v>
      </c>
      <c r="D1119" s="560" t="s">
        <v>291</v>
      </c>
      <c r="E1119" s="560">
        <v>117</v>
      </c>
      <c r="F1119" s="560">
        <v>4</v>
      </c>
      <c r="G1119" s="560" t="s">
        <v>286</v>
      </c>
      <c r="H1119" s="566">
        <v>3.2819074333800842</v>
      </c>
      <c r="I1119" s="567" t="s">
        <v>288</v>
      </c>
      <c r="J1119" s="568" t="s">
        <v>496</v>
      </c>
      <c r="L1119" s="373">
        <v>1</v>
      </c>
    </row>
    <row r="1120" spans="1:12">
      <c r="A1120" s="565">
        <v>1115</v>
      </c>
      <c r="B1120" s="560" t="s">
        <v>278</v>
      </c>
      <c r="C1120" s="560" t="s">
        <v>518</v>
      </c>
      <c r="D1120" s="560" t="s">
        <v>293</v>
      </c>
      <c r="E1120" s="560">
        <v>115</v>
      </c>
      <c r="F1120" s="560">
        <v>3</v>
      </c>
      <c r="G1120" s="560" t="s">
        <v>286</v>
      </c>
      <c r="H1120" s="566">
        <v>3.2258064516129035</v>
      </c>
      <c r="I1120" s="567" t="s">
        <v>499</v>
      </c>
      <c r="J1120" s="568" t="s">
        <v>288</v>
      </c>
      <c r="L1120" s="373">
        <v>1</v>
      </c>
    </row>
    <row r="1121" spans="1:12">
      <c r="A1121" s="565">
        <v>1116</v>
      </c>
      <c r="B1121" s="560" t="s">
        <v>278</v>
      </c>
      <c r="C1121" s="560" t="s">
        <v>518</v>
      </c>
      <c r="D1121" s="560" t="s">
        <v>291</v>
      </c>
      <c r="E1121" s="560">
        <v>111</v>
      </c>
      <c r="F1121" s="560">
        <v>4</v>
      </c>
      <c r="G1121" s="560" t="s">
        <v>286</v>
      </c>
      <c r="H1121" s="566">
        <v>3.1136044880785416</v>
      </c>
      <c r="I1121" s="567" t="s">
        <v>499</v>
      </c>
      <c r="J1121" s="568" t="s">
        <v>288</v>
      </c>
      <c r="L1121" s="373">
        <v>1</v>
      </c>
    </row>
    <row r="1122" spans="1:12" ht="21">
      <c r="A1122" s="565">
        <v>1117</v>
      </c>
      <c r="B1122" s="560" t="s">
        <v>278</v>
      </c>
      <c r="C1122" s="560" t="s">
        <v>518</v>
      </c>
      <c r="D1122" s="560" t="s">
        <v>294</v>
      </c>
      <c r="E1122" s="560">
        <v>125</v>
      </c>
      <c r="F1122" s="560">
        <v>3</v>
      </c>
      <c r="G1122" s="560" t="s">
        <v>286</v>
      </c>
      <c r="H1122" s="566">
        <v>3.5063113604488079</v>
      </c>
      <c r="I1122" s="567" t="s">
        <v>489</v>
      </c>
      <c r="J1122" s="568" t="s">
        <v>520</v>
      </c>
      <c r="L1122" s="373">
        <v>1</v>
      </c>
    </row>
    <row r="1123" spans="1:12">
      <c r="A1123" s="565">
        <v>1118</v>
      </c>
      <c r="B1123" s="560" t="s">
        <v>278</v>
      </c>
      <c r="C1123" s="560" t="s">
        <v>518</v>
      </c>
      <c r="D1123" s="560" t="s">
        <v>291</v>
      </c>
      <c r="E1123" s="560">
        <v>142</v>
      </c>
      <c r="F1123" s="560">
        <v>4</v>
      </c>
      <c r="G1123" s="560" t="s">
        <v>286</v>
      </c>
      <c r="H1123" s="566">
        <v>3.9831697054698458</v>
      </c>
      <c r="I1123" s="567" t="s">
        <v>464</v>
      </c>
      <c r="J1123" s="568" t="s">
        <v>288</v>
      </c>
      <c r="L1123" s="373">
        <v>1</v>
      </c>
    </row>
    <row r="1124" spans="1:12">
      <c r="A1124" s="565">
        <v>1119</v>
      </c>
      <c r="B1124" s="560" t="s">
        <v>278</v>
      </c>
      <c r="C1124" s="560" t="s">
        <v>518</v>
      </c>
      <c r="D1124" s="560" t="s">
        <v>292</v>
      </c>
      <c r="E1124" s="560">
        <v>157</v>
      </c>
      <c r="F1124" s="560">
        <v>6</v>
      </c>
      <c r="G1124" s="560" t="s">
        <v>286</v>
      </c>
      <c r="H1124" s="566">
        <v>4.4039270687237027</v>
      </c>
      <c r="I1124" s="567" t="s">
        <v>288</v>
      </c>
      <c r="J1124" s="568" t="s">
        <v>288</v>
      </c>
      <c r="L1124" s="373">
        <v>1</v>
      </c>
    </row>
    <row r="1125" spans="1:12" ht="21">
      <c r="A1125" s="565">
        <v>1120</v>
      </c>
      <c r="B1125" s="560" t="s">
        <v>278</v>
      </c>
      <c r="C1125" s="560" t="s">
        <v>518</v>
      </c>
      <c r="D1125" s="560" t="s">
        <v>293</v>
      </c>
      <c r="E1125" s="560">
        <v>141</v>
      </c>
      <c r="F1125" s="560">
        <v>4</v>
      </c>
      <c r="G1125" s="560" t="s">
        <v>286</v>
      </c>
      <c r="H1125" s="566">
        <v>3.9551192145862553</v>
      </c>
      <c r="I1125" s="567" t="s">
        <v>489</v>
      </c>
      <c r="J1125" s="568" t="s">
        <v>288</v>
      </c>
      <c r="L1125" s="373">
        <v>1</v>
      </c>
    </row>
    <row r="1126" spans="1:12">
      <c r="A1126" s="565">
        <v>1121</v>
      </c>
      <c r="B1126" s="560" t="s">
        <v>277</v>
      </c>
      <c r="C1126" s="560" t="s">
        <v>518</v>
      </c>
      <c r="D1126" s="560" t="s">
        <v>292</v>
      </c>
      <c r="E1126" s="560">
        <v>163</v>
      </c>
      <c r="F1126" s="560">
        <v>7</v>
      </c>
      <c r="G1126" s="560" t="s">
        <v>286</v>
      </c>
      <c r="H1126" s="566">
        <v>4.5722300140252452</v>
      </c>
      <c r="I1126" s="567" t="s">
        <v>499</v>
      </c>
      <c r="J1126" s="568" t="s">
        <v>288</v>
      </c>
      <c r="L1126" s="373">
        <v>1</v>
      </c>
    </row>
    <row r="1127" spans="1:12">
      <c r="A1127" s="565">
        <v>1122</v>
      </c>
      <c r="B1127" s="560" t="s">
        <v>278</v>
      </c>
      <c r="C1127" s="560" t="s">
        <v>518</v>
      </c>
      <c r="D1127" s="560" t="s">
        <v>291</v>
      </c>
      <c r="E1127" s="560">
        <v>147</v>
      </c>
      <c r="F1127" s="560">
        <v>6</v>
      </c>
      <c r="G1127" s="560" t="s">
        <v>286</v>
      </c>
      <c r="H1127" s="566">
        <v>4.1234221598877978</v>
      </c>
      <c r="I1127" s="567" t="s">
        <v>288</v>
      </c>
      <c r="J1127" s="568" t="s">
        <v>288</v>
      </c>
      <c r="L1127" s="373">
        <v>1</v>
      </c>
    </row>
    <row r="1128" spans="1:12">
      <c r="A1128" s="565">
        <v>1123</v>
      </c>
      <c r="B1128" s="560" t="s">
        <v>278</v>
      </c>
      <c r="C1128" s="560" t="s">
        <v>518</v>
      </c>
      <c r="D1128" s="560" t="s">
        <v>291</v>
      </c>
      <c r="E1128" s="560">
        <v>124</v>
      </c>
      <c r="F1128" s="560">
        <v>3</v>
      </c>
      <c r="G1128" s="560" t="s">
        <v>286</v>
      </c>
      <c r="H1128" s="566">
        <v>3.4782608695652177</v>
      </c>
      <c r="I1128" s="567" t="s">
        <v>464</v>
      </c>
      <c r="J1128" s="568" t="s">
        <v>288</v>
      </c>
      <c r="L1128" s="373">
        <v>1</v>
      </c>
    </row>
    <row r="1129" spans="1:12">
      <c r="A1129" s="565">
        <v>1124</v>
      </c>
      <c r="B1129" s="560" t="s">
        <v>277</v>
      </c>
      <c r="C1129" s="560" t="s">
        <v>518</v>
      </c>
      <c r="D1129" s="560" t="s">
        <v>292</v>
      </c>
      <c r="E1129" s="560">
        <v>253</v>
      </c>
      <c r="F1129" s="560">
        <v>12</v>
      </c>
      <c r="G1129" s="560" t="s">
        <v>286</v>
      </c>
      <c r="H1129" s="566">
        <v>7.096774193548387</v>
      </c>
      <c r="I1129" s="567" t="s">
        <v>288</v>
      </c>
      <c r="J1129" s="568" t="s">
        <v>288</v>
      </c>
      <c r="L1129" s="373">
        <v>1</v>
      </c>
    </row>
    <row r="1130" spans="1:12" ht="21">
      <c r="A1130" s="565">
        <v>1125</v>
      </c>
      <c r="B1130" s="560" t="s">
        <v>278</v>
      </c>
      <c r="C1130" s="560" t="s">
        <v>518</v>
      </c>
      <c r="D1130" s="560" t="s">
        <v>291</v>
      </c>
      <c r="E1130" s="560">
        <v>131</v>
      </c>
      <c r="F1130" s="560">
        <v>3</v>
      </c>
      <c r="G1130" s="560" t="s">
        <v>286</v>
      </c>
      <c r="H1130" s="566">
        <v>3.6746143057503509</v>
      </c>
      <c r="I1130" s="567" t="s">
        <v>489</v>
      </c>
      <c r="J1130" s="568" t="s">
        <v>288</v>
      </c>
      <c r="L1130" s="373">
        <v>1</v>
      </c>
    </row>
    <row r="1131" spans="1:12" ht="21">
      <c r="A1131" s="565">
        <v>1126</v>
      </c>
      <c r="B1131" s="560" t="s">
        <v>278</v>
      </c>
      <c r="C1131" s="560" t="s">
        <v>518</v>
      </c>
      <c r="D1131" s="560" t="s">
        <v>291</v>
      </c>
      <c r="E1131" s="560">
        <v>163</v>
      </c>
      <c r="F1131" s="560">
        <v>5</v>
      </c>
      <c r="G1131" s="560" t="s">
        <v>286</v>
      </c>
      <c r="H1131" s="566">
        <v>4.5722300140252452</v>
      </c>
      <c r="I1131" s="567" t="s">
        <v>489</v>
      </c>
      <c r="J1131" s="568" t="s">
        <v>288</v>
      </c>
      <c r="L1131" s="373">
        <v>1</v>
      </c>
    </row>
    <row r="1132" spans="1:12" ht="21">
      <c r="A1132" s="565">
        <v>1127</v>
      </c>
      <c r="B1132" s="560" t="s">
        <v>277</v>
      </c>
      <c r="C1132" s="560" t="s">
        <v>518</v>
      </c>
      <c r="D1132" s="560" t="s">
        <v>291</v>
      </c>
      <c r="E1132" s="560">
        <v>175</v>
      </c>
      <c r="F1132" s="560">
        <v>7</v>
      </c>
      <c r="G1132" s="560" t="s">
        <v>286</v>
      </c>
      <c r="H1132" s="566">
        <v>4.9088359046283312</v>
      </c>
      <c r="I1132" s="567" t="s">
        <v>489</v>
      </c>
      <c r="J1132" s="568" t="s">
        <v>288</v>
      </c>
      <c r="L1132" s="373">
        <v>1</v>
      </c>
    </row>
    <row r="1133" spans="1:12" ht="21">
      <c r="A1133" s="565">
        <v>1128</v>
      </c>
      <c r="B1133" s="560" t="s">
        <v>277</v>
      </c>
      <c r="C1133" s="560" t="s">
        <v>518</v>
      </c>
      <c r="D1133" s="560" t="s">
        <v>291</v>
      </c>
      <c r="E1133" s="560">
        <v>178</v>
      </c>
      <c r="F1133" s="560">
        <v>8</v>
      </c>
      <c r="G1133" s="560" t="s">
        <v>286</v>
      </c>
      <c r="H1133" s="566">
        <v>4.9929873772791025</v>
      </c>
      <c r="I1133" s="567" t="s">
        <v>489</v>
      </c>
      <c r="J1133" s="568" t="s">
        <v>288</v>
      </c>
      <c r="L1133" s="373">
        <v>1</v>
      </c>
    </row>
    <row r="1134" spans="1:12" ht="21">
      <c r="A1134" s="565">
        <v>1129</v>
      </c>
      <c r="B1134" s="560" t="s">
        <v>277</v>
      </c>
      <c r="C1134" s="560" t="s">
        <v>518</v>
      </c>
      <c r="D1134" s="560" t="s">
        <v>292</v>
      </c>
      <c r="E1134" s="560">
        <v>189</v>
      </c>
      <c r="F1134" s="560">
        <v>9</v>
      </c>
      <c r="G1134" s="560" t="s">
        <v>286</v>
      </c>
      <c r="H1134" s="566">
        <v>5.3015427769985974</v>
      </c>
      <c r="I1134" s="567" t="s">
        <v>288</v>
      </c>
      <c r="J1134" s="568" t="s">
        <v>496</v>
      </c>
      <c r="L1134" s="373">
        <v>1</v>
      </c>
    </row>
    <row r="1135" spans="1:12">
      <c r="A1135" s="565">
        <v>1130</v>
      </c>
      <c r="B1135" s="560" t="s">
        <v>278</v>
      </c>
      <c r="C1135" s="560" t="s">
        <v>518</v>
      </c>
      <c r="D1135" s="560" t="s">
        <v>292</v>
      </c>
      <c r="E1135" s="560">
        <v>147</v>
      </c>
      <c r="F1135" s="560">
        <v>4</v>
      </c>
      <c r="G1135" s="560" t="s">
        <v>286</v>
      </c>
      <c r="H1135" s="566">
        <v>4.1234221598877978</v>
      </c>
      <c r="I1135" s="567" t="s">
        <v>499</v>
      </c>
      <c r="J1135" s="568" t="s">
        <v>288</v>
      </c>
      <c r="L1135" s="373">
        <v>1</v>
      </c>
    </row>
    <row r="1136" spans="1:12">
      <c r="A1136" s="565">
        <v>1131</v>
      </c>
      <c r="B1136" s="560" t="s">
        <v>278</v>
      </c>
      <c r="C1136" s="560" t="s">
        <v>518</v>
      </c>
      <c r="D1136" s="560" t="s">
        <v>291</v>
      </c>
      <c r="E1136" s="560">
        <v>152</v>
      </c>
      <c r="F1136" s="560">
        <v>5</v>
      </c>
      <c r="G1136" s="560" t="s">
        <v>286</v>
      </c>
      <c r="H1136" s="566">
        <v>4.2636746143057502</v>
      </c>
      <c r="I1136" s="567" t="s">
        <v>499</v>
      </c>
      <c r="J1136" s="568" t="s">
        <v>288</v>
      </c>
      <c r="L1136" s="373">
        <v>1</v>
      </c>
    </row>
    <row r="1137" spans="1:12">
      <c r="A1137" s="565">
        <v>1132</v>
      </c>
      <c r="B1137" s="560" t="s">
        <v>278</v>
      </c>
      <c r="C1137" s="560" t="s">
        <v>518</v>
      </c>
      <c r="D1137" s="560" t="s">
        <v>291</v>
      </c>
      <c r="E1137" s="560">
        <v>145</v>
      </c>
      <c r="F1137" s="560">
        <v>4</v>
      </c>
      <c r="G1137" s="560" t="s">
        <v>286</v>
      </c>
      <c r="H1137" s="566">
        <v>4.0673211781206176</v>
      </c>
      <c r="I1137" s="567" t="s">
        <v>499</v>
      </c>
      <c r="J1137" s="568" t="s">
        <v>288</v>
      </c>
      <c r="L1137" s="373">
        <v>1</v>
      </c>
    </row>
    <row r="1138" spans="1:12" ht="21">
      <c r="A1138" s="565">
        <v>1133</v>
      </c>
      <c r="B1138" s="560" t="s">
        <v>278</v>
      </c>
      <c r="C1138" s="560" t="s">
        <v>518</v>
      </c>
      <c r="D1138" s="560" t="s">
        <v>294</v>
      </c>
      <c r="E1138" s="560">
        <v>124</v>
      </c>
      <c r="F1138" s="560">
        <v>4</v>
      </c>
      <c r="G1138" s="560" t="s">
        <v>286</v>
      </c>
      <c r="H1138" s="566">
        <v>3.4782608695652177</v>
      </c>
      <c r="I1138" s="567" t="s">
        <v>489</v>
      </c>
      <c r="J1138" s="568" t="s">
        <v>520</v>
      </c>
      <c r="L1138" s="373">
        <v>1</v>
      </c>
    </row>
    <row r="1139" spans="1:12">
      <c r="A1139" s="565">
        <v>1134</v>
      </c>
      <c r="B1139" s="560" t="s">
        <v>278</v>
      </c>
      <c r="C1139" s="560" t="s">
        <v>518</v>
      </c>
      <c r="D1139" s="560" t="s">
        <v>292</v>
      </c>
      <c r="E1139" s="560">
        <v>145</v>
      </c>
      <c r="F1139" s="560">
        <v>4</v>
      </c>
      <c r="G1139" s="560" t="s">
        <v>286</v>
      </c>
      <c r="H1139" s="566">
        <v>4.0673211781206176</v>
      </c>
      <c r="I1139" s="567" t="s">
        <v>288</v>
      </c>
      <c r="J1139" s="568" t="s">
        <v>288</v>
      </c>
      <c r="L1139" s="373">
        <v>1</v>
      </c>
    </row>
    <row r="1140" spans="1:12" ht="21">
      <c r="A1140" s="565">
        <v>1135</v>
      </c>
      <c r="B1140" s="560" t="s">
        <v>278</v>
      </c>
      <c r="C1140" s="560" t="s">
        <v>518</v>
      </c>
      <c r="D1140" s="560" t="s">
        <v>292</v>
      </c>
      <c r="E1140" s="560">
        <v>135</v>
      </c>
      <c r="F1140" s="560">
        <v>3</v>
      </c>
      <c r="G1140" s="560" t="s">
        <v>286</v>
      </c>
      <c r="H1140" s="566">
        <v>3.7868162692847127</v>
      </c>
      <c r="I1140" s="567" t="s">
        <v>288</v>
      </c>
      <c r="J1140" s="568" t="s">
        <v>496</v>
      </c>
      <c r="L1140" s="373">
        <v>1</v>
      </c>
    </row>
    <row r="1141" spans="1:12">
      <c r="A1141" s="565">
        <v>1136</v>
      </c>
      <c r="B1141" s="560" t="s">
        <v>278</v>
      </c>
      <c r="C1141" s="560" t="s">
        <v>518</v>
      </c>
      <c r="D1141" s="560" t="s">
        <v>292</v>
      </c>
      <c r="E1141" s="560">
        <v>139</v>
      </c>
      <c r="F1141" s="560">
        <v>4</v>
      </c>
      <c r="G1141" s="560" t="s">
        <v>286</v>
      </c>
      <c r="H1141" s="566">
        <v>3.8990182328190746</v>
      </c>
      <c r="I1141" s="567" t="s">
        <v>464</v>
      </c>
      <c r="J1141" s="568" t="s">
        <v>288</v>
      </c>
      <c r="L1141" s="373">
        <v>1</v>
      </c>
    </row>
    <row r="1142" spans="1:12" ht="21">
      <c r="A1142" s="565">
        <v>1137</v>
      </c>
      <c r="B1142" s="560" t="s">
        <v>278</v>
      </c>
      <c r="C1142" s="560" t="s">
        <v>518</v>
      </c>
      <c r="D1142" s="560" t="s">
        <v>294</v>
      </c>
      <c r="E1142" s="560">
        <v>124</v>
      </c>
      <c r="F1142" s="560">
        <v>3</v>
      </c>
      <c r="G1142" s="560" t="s">
        <v>286</v>
      </c>
      <c r="H1142" s="566">
        <v>3.4782608695652177</v>
      </c>
      <c r="I1142" s="567" t="s">
        <v>489</v>
      </c>
      <c r="J1142" s="568" t="s">
        <v>522</v>
      </c>
      <c r="L1142" s="373">
        <v>1</v>
      </c>
    </row>
    <row r="1143" spans="1:12">
      <c r="A1143" s="565">
        <v>1138</v>
      </c>
      <c r="B1143" s="560" t="s">
        <v>278</v>
      </c>
      <c r="C1143" s="560" t="s">
        <v>518</v>
      </c>
      <c r="D1143" s="560" t="s">
        <v>291</v>
      </c>
      <c r="E1143" s="560">
        <v>146</v>
      </c>
      <c r="F1143" s="560">
        <v>5</v>
      </c>
      <c r="G1143" s="560" t="s">
        <v>286</v>
      </c>
      <c r="H1143" s="566">
        <v>4.0953716690042077</v>
      </c>
      <c r="I1143" s="567" t="s">
        <v>464</v>
      </c>
      <c r="J1143" s="568" t="s">
        <v>288</v>
      </c>
      <c r="L1143" s="373">
        <v>1</v>
      </c>
    </row>
    <row r="1144" spans="1:12" ht="21">
      <c r="A1144" s="565">
        <v>1139</v>
      </c>
      <c r="B1144" s="560" t="s">
        <v>278</v>
      </c>
      <c r="C1144" s="560" t="s">
        <v>518</v>
      </c>
      <c r="D1144" s="560" t="s">
        <v>291</v>
      </c>
      <c r="E1144" s="560">
        <v>147</v>
      </c>
      <c r="F1144" s="560">
        <v>4</v>
      </c>
      <c r="G1144" s="560" t="s">
        <v>286</v>
      </c>
      <c r="H1144" s="566">
        <v>4.1234221598877978</v>
      </c>
      <c r="I1144" s="567" t="s">
        <v>489</v>
      </c>
      <c r="J1144" s="568" t="s">
        <v>288</v>
      </c>
      <c r="L1144" s="373">
        <v>1</v>
      </c>
    </row>
    <row r="1145" spans="1:12">
      <c r="A1145" s="565">
        <v>1140</v>
      </c>
      <c r="B1145" s="560" t="s">
        <v>278</v>
      </c>
      <c r="C1145" s="560" t="s">
        <v>518</v>
      </c>
      <c r="D1145" s="560" t="s">
        <v>291</v>
      </c>
      <c r="E1145" s="560">
        <v>126</v>
      </c>
      <c r="F1145" s="560">
        <v>3</v>
      </c>
      <c r="G1145" s="560" t="s">
        <v>286</v>
      </c>
      <c r="H1145" s="566">
        <v>3.5343618513323984</v>
      </c>
      <c r="I1145" s="567" t="s">
        <v>499</v>
      </c>
      <c r="J1145" s="568" t="s">
        <v>500</v>
      </c>
      <c r="L1145" s="373">
        <v>1</v>
      </c>
    </row>
    <row r="1146" spans="1:12" ht="21">
      <c r="A1146" s="565">
        <v>1141</v>
      </c>
      <c r="B1146" s="560" t="s">
        <v>278</v>
      </c>
      <c r="C1146" s="560" t="s">
        <v>518</v>
      </c>
      <c r="D1146" s="560" t="s">
        <v>293</v>
      </c>
      <c r="E1146" s="560">
        <v>143</v>
      </c>
      <c r="F1146" s="560">
        <v>5</v>
      </c>
      <c r="G1146" s="560" t="s">
        <v>286</v>
      </c>
      <c r="H1146" s="566">
        <v>4.0112201963534364</v>
      </c>
      <c r="I1146" s="567" t="s">
        <v>489</v>
      </c>
      <c r="J1146" s="568" t="s">
        <v>288</v>
      </c>
      <c r="L1146" s="373">
        <v>1</v>
      </c>
    </row>
    <row r="1147" spans="1:12">
      <c r="A1147" s="565">
        <v>1142</v>
      </c>
      <c r="B1147" s="560" t="s">
        <v>278</v>
      </c>
      <c r="C1147" s="560" t="s">
        <v>518</v>
      </c>
      <c r="D1147" s="560" t="s">
        <v>293</v>
      </c>
      <c r="E1147" s="560">
        <v>145</v>
      </c>
      <c r="F1147" s="560">
        <v>4</v>
      </c>
      <c r="G1147" s="560" t="s">
        <v>286</v>
      </c>
      <c r="H1147" s="566">
        <v>4.0673211781206176</v>
      </c>
      <c r="I1147" s="567" t="s">
        <v>499</v>
      </c>
      <c r="J1147" s="568" t="s">
        <v>288</v>
      </c>
      <c r="L1147" s="373">
        <v>1</v>
      </c>
    </row>
    <row r="1148" spans="1:12">
      <c r="A1148" s="565">
        <v>1143</v>
      </c>
      <c r="B1148" s="560" t="s">
        <v>278</v>
      </c>
      <c r="C1148" s="560" t="s">
        <v>518</v>
      </c>
      <c r="D1148" s="560" t="s">
        <v>291</v>
      </c>
      <c r="E1148" s="560">
        <v>142</v>
      </c>
      <c r="F1148" s="560">
        <v>3</v>
      </c>
      <c r="G1148" s="560" t="s">
        <v>286</v>
      </c>
      <c r="H1148" s="566">
        <v>3.9831697054698458</v>
      </c>
      <c r="I1148" s="567" t="s">
        <v>464</v>
      </c>
      <c r="J1148" s="568" t="s">
        <v>288</v>
      </c>
      <c r="L1148" s="373">
        <v>1</v>
      </c>
    </row>
    <row r="1149" spans="1:12" ht="21">
      <c r="A1149" s="565">
        <v>1144</v>
      </c>
      <c r="B1149" s="560" t="s">
        <v>278</v>
      </c>
      <c r="C1149" s="560" t="s">
        <v>518</v>
      </c>
      <c r="D1149" s="560" t="s">
        <v>291</v>
      </c>
      <c r="E1149" s="560">
        <v>141</v>
      </c>
      <c r="F1149" s="560">
        <v>4</v>
      </c>
      <c r="G1149" s="560" t="s">
        <v>286</v>
      </c>
      <c r="H1149" s="566">
        <v>3.9551192145862553</v>
      </c>
      <c r="I1149" s="567" t="s">
        <v>464</v>
      </c>
      <c r="J1149" s="568" t="s">
        <v>506</v>
      </c>
      <c r="L1149" s="373">
        <v>1</v>
      </c>
    </row>
    <row r="1150" spans="1:12">
      <c r="A1150" s="565">
        <v>1145</v>
      </c>
      <c r="B1150" s="560" t="s">
        <v>278</v>
      </c>
      <c r="C1150" s="560" t="s">
        <v>518</v>
      </c>
      <c r="D1150" s="560" t="s">
        <v>291</v>
      </c>
      <c r="E1150" s="560">
        <v>136</v>
      </c>
      <c r="F1150" s="560">
        <v>3</v>
      </c>
      <c r="G1150" s="560" t="s">
        <v>286</v>
      </c>
      <c r="H1150" s="566">
        <v>3.8148667601683033</v>
      </c>
      <c r="I1150" s="567" t="s">
        <v>499</v>
      </c>
      <c r="J1150" s="568" t="s">
        <v>288</v>
      </c>
      <c r="L1150" s="373">
        <v>1</v>
      </c>
    </row>
    <row r="1151" spans="1:12">
      <c r="A1151" s="565">
        <v>1146</v>
      </c>
      <c r="B1151" s="560" t="s">
        <v>278</v>
      </c>
      <c r="C1151" s="560" t="s">
        <v>518</v>
      </c>
      <c r="D1151" s="560" t="s">
        <v>291</v>
      </c>
      <c r="E1151" s="560">
        <v>139</v>
      </c>
      <c r="F1151" s="560">
        <v>4</v>
      </c>
      <c r="G1151" s="560" t="s">
        <v>286</v>
      </c>
      <c r="H1151" s="566">
        <v>3.8990182328190746</v>
      </c>
      <c r="I1151" s="567" t="s">
        <v>288</v>
      </c>
      <c r="J1151" s="568" t="s">
        <v>288</v>
      </c>
      <c r="L1151" s="373">
        <v>1</v>
      </c>
    </row>
    <row r="1152" spans="1:12">
      <c r="A1152" s="565">
        <v>1147</v>
      </c>
      <c r="B1152" s="560" t="s">
        <v>278</v>
      </c>
      <c r="C1152" s="560" t="s">
        <v>518</v>
      </c>
      <c r="D1152" s="560" t="s">
        <v>291</v>
      </c>
      <c r="E1152" s="560">
        <v>145</v>
      </c>
      <c r="F1152" s="560">
        <v>5</v>
      </c>
      <c r="G1152" s="560" t="s">
        <v>286</v>
      </c>
      <c r="H1152" s="566">
        <v>4.0673211781206176</v>
      </c>
      <c r="I1152" s="567" t="s">
        <v>288</v>
      </c>
      <c r="J1152" s="568" t="s">
        <v>288</v>
      </c>
      <c r="L1152" s="373">
        <v>1</v>
      </c>
    </row>
    <row r="1153" spans="1:12">
      <c r="A1153" s="565">
        <v>1148</v>
      </c>
      <c r="B1153" s="560" t="s">
        <v>278</v>
      </c>
      <c r="C1153" s="560" t="s">
        <v>518</v>
      </c>
      <c r="D1153" s="560" t="s">
        <v>292</v>
      </c>
      <c r="E1153" s="560">
        <v>127</v>
      </c>
      <c r="F1153" s="560">
        <v>4</v>
      </c>
      <c r="G1153" s="560" t="s">
        <v>286</v>
      </c>
      <c r="H1153" s="566">
        <v>3.562412342215989</v>
      </c>
      <c r="I1153" s="567" t="s">
        <v>464</v>
      </c>
      <c r="J1153" s="568" t="s">
        <v>288</v>
      </c>
      <c r="L1153" s="373">
        <v>1</v>
      </c>
    </row>
    <row r="1154" spans="1:12" ht="21">
      <c r="A1154" s="565">
        <v>1149</v>
      </c>
      <c r="B1154" s="560" t="s">
        <v>277</v>
      </c>
      <c r="C1154" s="560" t="s">
        <v>518</v>
      </c>
      <c r="D1154" s="560" t="s">
        <v>291</v>
      </c>
      <c r="E1154" s="560">
        <v>173</v>
      </c>
      <c r="F1154" s="560">
        <v>10</v>
      </c>
      <c r="G1154" s="560" t="s">
        <v>286</v>
      </c>
      <c r="H1154" s="566">
        <v>4.85273492286115</v>
      </c>
      <c r="I1154" s="567" t="s">
        <v>464</v>
      </c>
      <c r="J1154" s="568" t="s">
        <v>506</v>
      </c>
      <c r="L1154" s="373">
        <v>1</v>
      </c>
    </row>
    <row r="1155" spans="1:12">
      <c r="A1155" s="565">
        <v>1150</v>
      </c>
      <c r="B1155" s="560" t="s">
        <v>278</v>
      </c>
      <c r="C1155" s="560" t="s">
        <v>518</v>
      </c>
      <c r="D1155" s="560" t="s">
        <v>292</v>
      </c>
      <c r="E1155" s="560">
        <v>112</v>
      </c>
      <c r="F1155" s="560">
        <v>3</v>
      </c>
      <c r="G1155" s="560" t="s">
        <v>286</v>
      </c>
      <c r="H1155" s="566">
        <v>3.1416549789621318</v>
      </c>
      <c r="I1155" s="567" t="s">
        <v>288</v>
      </c>
      <c r="J1155" s="568" t="s">
        <v>288</v>
      </c>
      <c r="L1155" s="373">
        <v>1</v>
      </c>
    </row>
    <row r="1156" spans="1:12">
      <c r="A1156" s="565">
        <v>1151</v>
      </c>
      <c r="B1156" s="560" t="s">
        <v>278</v>
      </c>
      <c r="C1156" s="560" t="s">
        <v>518</v>
      </c>
      <c r="D1156" s="560" t="s">
        <v>292</v>
      </c>
      <c r="E1156" s="560">
        <v>154</v>
      </c>
      <c r="F1156" s="560">
        <v>5</v>
      </c>
      <c r="G1156" s="560" t="s">
        <v>286</v>
      </c>
      <c r="H1156" s="566">
        <v>4.3197755960729314</v>
      </c>
      <c r="I1156" s="567" t="s">
        <v>288</v>
      </c>
      <c r="J1156" s="568" t="s">
        <v>288</v>
      </c>
      <c r="L1156" s="373">
        <v>1</v>
      </c>
    </row>
    <row r="1157" spans="1:12" ht="21">
      <c r="A1157" s="565">
        <v>1152</v>
      </c>
      <c r="B1157" s="560" t="s">
        <v>278</v>
      </c>
      <c r="C1157" s="560" t="s">
        <v>518</v>
      </c>
      <c r="D1157" s="560" t="s">
        <v>291</v>
      </c>
      <c r="E1157" s="560">
        <v>133</v>
      </c>
      <c r="F1157" s="560">
        <v>3</v>
      </c>
      <c r="G1157" s="560" t="s">
        <v>286</v>
      </c>
      <c r="H1157" s="566">
        <v>3.7307152875175316</v>
      </c>
      <c r="I1157" s="567" t="s">
        <v>489</v>
      </c>
      <c r="J1157" s="568" t="s">
        <v>288</v>
      </c>
      <c r="L1157" s="373">
        <v>1</v>
      </c>
    </row>
    <row r="1158" spans="1:12">
      <c r="A1158" s="565">
        <v>1153</v>
      </c>
      <c r="B1158" s="560" t="s">
        <v>278</v>
      </c>
      <c r="C1158" s="560" t="s">
        <v>518</v>
      </c>
      <c r="D1158" s="560" t="s">
        <v>292</v>
      </c>
      <c r="E1158" s="560">
        <v>145</v>
      </c>
      <c r="F1158" s="560">
        <v>4</v>
      </c>
      <c r="G1158" s="560" t="s">
        <v>286</v>
      </c>
      <c r="H1158" s="566">
        <v>4.0673211781206176</v>
      </c>
      <c r="I1158" s="567" t="s">
        <v>464</v>
      </c>
      <c r="J1158" s="568" t="s">
        <v>288</v>
      </c>
      <c r="L1158" s="373">
        <v>1</v>
      </c>
    </row>
    <row r="1159" spans="1:12" ht="21">
      <c r="A1159" s="565">
        <v>1154</v>
      </c>
      <c r="B1159" s="560" t="s">
        <v>278</v>
      </c>
      <c r="C1159" s="560" t="s">
        <v>518</v>
      </c>
      <c r="D1159" s="560" t="s">
        <v>291</v>
      </c>
      <c r="E1159" s="560">
        <v>137</v>
      </c>
      <c r="F1159" s="560">
        <v>3</v>
      </c>
      <c r="G1159" s="560" t="s">
        <v>286</v>
      </c>
      <c r="H1159" s="566">
        <v>3.8429172510518934</v>
      </c>
      <c r="I1159" s="567" t="s">
        <v>489</v>
      </c>
      <c r="J1159" s="568" t="s">
        <v>288</v>
      </c>
      <c r="L1159" s="373">
        <v>1</v>
      </c>
    </row>
    <row r="1160" spans="1:12" ht="21">
      <c r="A1160" s="565">
        <v>1155</v>
      </c>
      <c r="B1160" s="560" t="s">
        <v>277</v>
      </c>
      <c r="C1160" s="560" t="s">
        <v>518</v>
      </c>
      <c r="D1160" s="560" t="s">
        <v>292</v>
      </c>
      <c r="E1160" s="560">
        <v>174</v>
      </c>
      <c r="F1160" s="560">
        <v>12</v>
      </c>
      <c r="G1160" s="560" t="s">
        <v>286</v>
      </c>
      <c r="H1160" s="566">
        <v>4.8807854137447411</v>
      </c>
      <c r="I1160" s="567" t="s">
        <v>288</v>
      </c>
      <c r="J1160" s="568" t="s">
        <v>496</v>
      </c>
      <c r="L1160" s="373">
        <v>1</v>
      </c>
    </row>
    <row r="1161" spans="1:12">
      <c r="A1161" s="565">
        <v>1156</v>
      </c>
      <c r="B1161" s="560" t="s">
        <v>278</v>
      </c>
      <c r="C1161" s="560" t="s">
        <v>518</v>
      </c>
      <c r="D1161" s="560" t="s">
        <v>291</v>
      </c>
      <c r="E1161" s="560">
        <v>129</v>
      </c>
      <c r="F1161" s="560">
        <v>4</v>
      </c>
      <c r="G1161" s="560" t="s">
        <v>286</v>
      </c>
      <c r="H1161" s="566">
        <v>3.6185133239831697</v>
      </c>
      <c r="I1161" s="567" t="s">
        <v>499</v>
      </c>
      <c r="J1161" s="568" t="s">
        <v>288</v>
      </c>
      <c r="L1161" s="373">
        <v>1</v>
      </c>
    </row>
    <row r="1162" spans="1:12" ht="21">
      <c r="A1162" s="565">
        <v>1157</v>
      </c>
      <c r="B1162" s="560" t="s">
        <v>278</v>
      </c>
      <c r="C1162" s="560" t="s">
        <v>518</v>
      </c>
      <c r="D1162" s="560" t="s">
        <v>291</v>
      </c>
      <c r="E1162" s="560">
        <v>132</v>
      </c>
      <c r="F1162" s="560">
        <v>3</v>
      </c>
      <c r="G1162" s="560" t="s">
        <v>286</v>
      </c>
      <c r="H1162" s="566">
        <v>3.7026647966339414</v>
      </c>
      <c r="I1162" s="567" t="s">
        <v>489</v>
      </c>
      <c r="J1162" s="568" t="s">
        <v>288</v>
      </c>
      <c r="L1162" s="373">
        <v>1</v>
      </c>
    </row>
    <row r="1163" spans="1:12" ht="21">
      <c r="A1163" s="565">
        <v>1158</v>
      </c>
      <c r="B1163" s="560" t="s">
        <v>278</v>
      </c>
      <c r="C1163" s="560" t="s">
        <v>518</v>
      </c>
      <c r="D1163" s="560" t="s">
        <v>291</v>
      </c>
      <c r="E1163" s="560">
        <v>146</v>
      </c>
      <c r="F1163" s="560">
        <v>4</v>
      </c>
      <c r="G1163" s="560" t="s">
        <v>286</v>
      </c>
      <c r="H1163" s="566">
        <v>4.0953716690042077</v>
      </c>
      <c r="I1163" s="567" t="s">
        <v>489</v>
      </c>
      <c r="J1163" s="568" t="s">
        <v>288</v>
      </c>
      <c r="L1163" s="373">
        <v>1</v>
      </c>
    </row>
    <row r="1164" spans="1:12">
      <c r="A1164" s="565">
        <v>1159</v>
      </c>
      <c r="B1164" s="560" t="s">
        <v>278</v>
      </c>
      <c r="C1164" s="560" t="s">
        <v>518</v>
      </c>
      <c r="D1164" s="560" t="s">
        <v>292</v>
      </c>
      <c r="E1164" s="560">
        <v>131</v>
      </c>
      <c r="F1164" s="560">
        <v>3</v>
      </c>
      <c r="G1164" s="560" t="s">
        <v>286</v>
      </c>
      <c r="H1164" s="566">
        <v>3.6746143057503509</v>
      </c>
      <c r="I1164" s="567" t="s">
        <v>288</v>
      </c>
      <c r="J1164" s="568" t="s">
        <v>288</v>
      </c>
      <c r="L1164" s="373">
        <v>1</v>
      </c>
    </row>
    <row r="1165" spans="1:12" ht="21">
      <c r="A1165" s="565">
        <v>1160</v>
      </c>
      <c r="B1165" s="560" t="s">
        <v>278</v>
      </c>
      <c r="C1165" s="560" t="s">
        <v>518</v>
      </c>
      <c r="D1165" s="560" t="s">
        <v>291</v>
      </c>
      <c r="E1165" s="560">
        <v>164</v>
      </c>
      <c r="F1165" s="560">
        <v>5</v>
      </c>
      <c r="G1165" s="560" t="s">
        <v>286</v>
      </c>
      <c r="H1165" s="566">
        <v>4.6002805049088362</v>
      </c>
      <c r="I1165" s="567" t="s">
        <v>489</v>
      </c>
      <c r="J1165" s="568" t="s">
        <v>288</v>
      </c>
      <c r="L1165" s="373">
        <v>1</v>
      </c>
    </row>
    <row r="1166" spans="1:12">
      <c r="A1166" s="565">
        <v>1161</v>
      </c>
      <c r="B1166" s="560" t="s">
        <v>278</v>
      </c>
      <c r="C1166" s="560" t="s">
        <v>518</v>
      </c>
      <c r="D1166" s="560" t="s">
        <v>292</v>
      </c>
      <c r="E1166" s="560">
        <v>163</v>
      </c>
      <c r="F1166" s="560">
        <v>5</v>
      </c>
      <c r="G1166" s="560" t="s">
        <v>286</v>
      </c>
      <c r="H1166" s="566">
        <v>4.5722300140252452</v>
      </c>
      <c r="I1166" s="567" t="s">
        <v>288</v>
      </c>
      <c r="J1166" s="568" t="s">
        <v>288</v>
      </c>
      <c r="L1166" s="373">
        <v>1</v>
      </c>
    </row>
    <row r="1167" spans="1:12" ht="21">
      <c r="A1167" s="565">
        <v>1162</v>
      </c>
      <c r="B1167" s="560" t="s">
        <v>278</v>
      </c>
      <c r="C1167" s="560" t="s">
        <v>518</v>
      </c>
      <c r="D1167" s="560" t="s">
        <v>294</v>
      </c>
      <c r="E1167" s="560">
        <v>147</v>
      </c>
      <c r="F1167" s="560">
        <v>4</v>
      </c>
      <c r="G1167" s="560" t="s">
        <v>286</v>
      </c>
      <c r="H1167" s="566">
        <v>4.1234221598877978</v>
      </c>
      <c r="I1167" s="567" t="s">
        <v>489</v>
      </c>
      <c r="J1167" s="568" t="s">
        <v>523</v>
      </c>
      <c r="L1167" s="373">
        <v>1</v>
      </c>
    </row>
    <row r="1168" spans="1:12" ht="21">
      <c r="A1168" s="565">
        <v>1163</v>
      </c>
      <c r="B1168" s="560" t="s">
        <v>278</v>
      </c>
      <c r="C1168" s="560" t="s">
        <v>518</v>
      </c>
      <c r="D1168" s="560" t="s">
        <v>294</v>
      </c>
      <c r="E1168" s="560">
        <v>137</v>
      </c>
      <c r="F1168" s="560">
        <v>4</v>
      </c>
      <c r="G1168" s="560" t="s">
        <v>286</v>
      </c>
      <c r="H1168" s="566">
        <v>3.8429172510518934</v>
      </c>
      <c r="I1168" s="567" t="s">
        <v>489</v>
      </c>
      <c r="J1168" s="568" t="s">
        <v>288</v>
      </c>
      <c r="L1168" s="373">
        <v>1</v>
      </c>
    </row>
    <row r="1169" spans="1:12" ht="21">
      <c r="A1169" s="565">
        <v>1164</v>
      </c>
      <c r="B1169" s="560" t="s">
        <v>278</v>
      </c>
      <c r="C1169" s="560" t="s">
        <v>518</v>
      </c>
      <c r="D1169" s="560" t="s">
        <v>294</v>
      </c>
      <c r="E1169" s="560">
        <v>127</v>
      </c>
      <c r="F1169" s="560">
        <v>3</v>
      </c>
      <c r="G1169" s="560" t="s">
        <v>286</v>
      </c>
      <c r="H1169" s="566">
        <v>3.562412342215989</v>
      </c>
      <c r="I1169" s="567" t="s">
        <v>489</v>
      </c>
      <c r="J1169" s="568" t="s">
        <v>524</v>
      </c>
      <c r="L1169" s="373">
        <v>1</v>
      </c>
    </row>
    <row r="1170" spans="1:12" ht="21">
      <c r="A1170" s="565">
        <v>1165</v>
      </c>
      <c r="B1170" s="560" t="s">
        <v>278</v>
      </c>
      <c r="C1170" s="560" t="s">
        <v>518</v>
      </c>
      <c r="D1170" s="560" t="s">
        <v>291</v>
      </c>
      <c r="E1170" s="560">
        <v>139</v>
      </c>
      <c r="F1170" s="560">
        <v>3</v>
      </c>
      <c r="G1170" s="560" t="s">
        <v>286</v>
      </c>
      <c r="H1170" s="566">
        <v>3.8990182328190746</v>
      </c>
      <c r="I1170" s="567" t="s">
        <v>489</v>
      </c>
      <c r="J1170" s="568" t="s">
        <v>288</v>
      </c>
      <c r="L1170" s="373">
        <v>1</v>
      </c>
    </row>
    <row r="1171" spans="1:12" ht="21">
      <c r="A1171" s="565">
        <v>1166</v>
      </c>
      <c r="B1171" s="560" t="s">
        <v>278</v>
      </c>
      <c r="C1171" s="560" t="s">
        <v>518</v>
      </c>
      <c r="D1171" s="560" t="s">
        <v>293</v>
      </c>
      <c r="E1171" s="560">
        <v>138</v>
      </c>
      <c r="F1171" s="560">
        <v>4</v>
      </c>
      <c r="G1171" s="560" t="s">
        <v>286</v>
      </c>
      <c r="H1171" s="566">
        <v>3.870967741935484</v>
      </c>
      <c r="I1171" s="567" t="s">
        <v>489</v>
      </c>
      <c r="J1171" s="568" t="s">
        <v>525</v>
      </c>
      <c r="L1171" s="373">
        <v>1</v>
      </c>
    </row>
    <row r="1172" spans="1:12" ht="21">
      <c r="A1172" s="565">
        <v>1167</v>
      </c>
      <c r="B1172" s="560" t="s">
        <v>278</v>
      </c>
      <c r="C1172" s="560" t="s">
        <v>518</v>
      </c>
      <c r="D1172" s="560" t="s">
        <v>291</v>
      </c>
      <c r="E1172" s="560">
        <v>143</v>
      </c>
      <c r="F1172" s="560">
        <v>5</v>
      </c>
      <c r="G1172" s="560" t="s">
        <v>286</v>
      </c>
      <c r="H1172" s="566">
        <v>4.0112201963534364</v>
      </c>
      <c r="I1172" s="567" t="s">
        <v>489</v>
      </c>
      <c r="J1172" s="568" t="s">
        <v>288</v>
      </c>
      <c r="L1172" s="373">
        <v>1</v>
      </c>
    </row>
    <row r="1173" spans="1:12">
      <c r="A1173" s="565">
        <v>1168</v>
      </c>
      <c r="B1173" s="560" t="s">
        <v>278</v>
      </c>
      <c r="C1173" s="560" t="s">
        <v>518</v>
      </c>
      <c r="D1173" s="560" t="s">
        <v>291</v>
      </c>
      <c r="E1173" s="560">
        <v>124</v>
      </c>
      <c r="F1173" s="560">
        <v>3</v>
      </c>
      <c r="G1173" s="560" t="s">
        <v>286</v>
      </c>
      <c r="H1173" s="566">
        <v>3.4782608695652177</v>
      </c>
      <c r="I1173" s="567" t="s">
        <v>499</v>
      </c>
      <c r="J1173" s="568" t="s">
        <v>288</v>
      </c>
      <c r="L1173" s="373">
        <v>1</v>
      </c>
    </row>
    <row r="1174" spans="1:12" ht="21">
      <c r="A1174" s="565">
        <v>1169</v>
      </c>
      <c r="B1174" s="560" t="s">
        <v>278</v>
      </c>
      <c r="C1174" s="560" t="s">
        <v>518</v>
      </c>
      <c r="D1174" s="560" t="s">
        <v>291</v>
      </c>
      <c r="E1174" s="560">
        <v>136</v>
      </c>
      <c r="F1174" s="560">
        <v>4</v>
      </c>
      <c r="G1174" s="560" t="s">
        <v>286</v>
      </c>
      <c r="H1174" s="566">
        <v>3.8148667601683033</v>
      </c>
      <c r="I1174" s="567" t="s">
        <v>489</v>
      </c>
      <c r="J1174" s="568" t="s">
        <v>288</v>
      </c>
      <c r="L1174" s="373">
        <v>1</v>
      </c>
    </row>
    <row r="1175" spans="1:12">
      <c r="A1175" s="565">
        <v>1170</v>
      </c>
      <c r="B1175" s="560" t="s">
        <v>278</v>
      </c>
      <c r="C1175" s="560" t="s">
        <v>518</v>
      </c>
      <c r="D1175" s="560" t="s">
        <v>292</v>
      </c>
      <c r="E1175" s="560">
        <v>116</v>
      </c>
      <c r="F1175" s="560">
        <v>3</v>
      </c>
      <c r="G1175" s="560" t="s">
        <v>286</v>
      </c>
      <c r="H1175" s="566">
        <v>3.2538569424964936</v>
      </c>
      <c r="I1175" s="567" t="s">
        <v>464</v>
      </c>
      <c r="J1175" s="568" t="s">
        <v>288</v>
      </c>
      <c r="L1175" s="373">
        <v>1</v>
      </c>
    </row>
    <row r="1176" spans="1:12">
      <c r="A1176" s="565">
        <v>1171</v>
      </c>
      <c r="B1176" s="560" t="s">
        <v>278</v>
      </c>
      <c r="C1176" s="560" t="s">
        <v>518</v>
      </c>
      <c r="D1176" s="560" t="s">
        <v>292</v>
      </c>
      <c r="E1176" s="560">
        <v>128</v>
      </c>
      <c r="F1176" s="560">
        <v>2</v>
      </c>
      <c r="G1176" s="560" t="s">
        <v>286</v>
      </c>
      <c r="H1176" s="566">
        <v>3.5904628330995796</v>
      </c>
      <c r="I1176" s="567" t="s">
        <v>464</v>
      </c>
      <c r="J1176" s="568" t="s">
        <v>288</v>
      </c>
      <c r="L1176" s="373">
        <v>1</v>
      </c>
    </row>
    <row r="1177" spans="1:12" ht="21">
      <c r="A1177" s="565">
        <v>1172</v>
      </c>
      <c r="B1177" s="560" t="s">
        <v>278</v>
      </c>
      <c r="C1177" s="560" t="s">
        <v>518</v>
      </c>
      <c r="D1177" s="560" t="s">
        <v>291</v>
      </c>
      <c r="E1177" s="560">
        <v>126</v>
      </c>
      <c r="F1177" s="560">
        <v>3</v>
      </c>
      <c r="G1177" s="560" t="s">
        <v>286</v>
      </c>
      <c r="H1177" s="566">
        <v>3.5343618513323984</v>
      </c>
      <c r="I1177" s="567" t="s">
        <v>489</v>
      </c>
      <c r="J1177" s="568" t="s">
        <v>288</v>
      </c>
      <c r="L1177" s="373">
        <v>1</v>
      </c>
    </row>
    <row r="1178" spans="1:12" ht="21">
      <c r="A1178" s="565">
        <v>1173</v>
      </c>
      <c r="B1178" s="560" t="s">
        <v>278</v>
      </c>
      <c r="C1178" s="560" t="s">
        <v>518</v>
      </c>
      <c r="D1178" s="560" t="s">
        <v>291</v>
      </c>
      <c r="E1178" s="560">
        <v>137</v>
      </c>
      <c r="F1178" s="560">
        <v>4</v>
      </c>
      <c r="G1178" s="560" t="s">
        <v>286</v>
      </c>
      <c r="H1178" s="566">
        <v>3.8429172510518934</v>
      </c>
      <c r="I1178" s="567" t="s">
        <v>489</v>
      </c>
      <c r="J1178" s="568" t="s">
        <v>288</v>
      </c>
      <c r="L1178" s="373">
        <v>1</v>
      </c>
    </row>
    <row r="1179" spans="1:12" ht="21">
      <c r="A1179" s="565">
        <v>1174</v>
      </c>
      <c r="B1179" s="560" t="s">
        <v>278</v>
      </c>
      <c r="C1179" s="560" t="s">
        <v>518</v>
      </c>
      <c r="D1179" s="560" t="s">
        <v>291</v>
      </c>
      <c r="E1179" s="560">
        <v>153</v>
      </c>
      <c r="F1179" s="560">
        <v>5</v>
      </c>
      <c r="G1179" s="560" t="s">
        <v>286</v>
      </c>
      <c r="H1179" s="566">
        <v>4.2917251051893412</v>
      </c>
      <c r="I1179" s="567" t="s">
        <v>489</v>
      </c>
      <c r="J1179" s="568" t="s">
        <v>525</v>
      </c>
      <c r="L1179" s="373">
        <v>1</v>
      </c>
    </row>
    <row r="1180" spans="1:12" ht="21">
      <c r="A1180" s="565">
        <v>1175</v>
      </c>
      <c r="B1180" s="560" t="s">
        <v>278</v>
      </c>
      <c r="C1180" s="560" t="s">
        <v>518</v>
      </c>
      <c r="D1180" s="560" t="s">
        <v>293</v>
      </c>
      <c r="E1180" s="560">
        <v>142</v>
      </c>
      <c r="F1180" s="560">
        <v>4</v>
      </c>
      <c r="G1180" s="560" t="s">
        <v>286</v>
      </c>
      <c r="H1180" s="566">
        <v>3.9831697054698458</v>
      </c>
      <c r="I1180" s="567" t="s">
        <v>489</v>
      </c>
      <c r="J1180" s="568" t="s">
        <v>288</v>
      </c>
      <c r="L1180" s="373">
        <v>1</v>
      </c>
    </row>
    <row r="1181" spans="1:12" ht="21">
      <c r="A1181" s="565">
        <v>1176</v>
      </c>
      <c r="B1181" s="560" t="s">
        <v>278</v>
      </c>
      <c r="C1181" s="560" t="s">
        <v>518</v>
      </c>
      <c r="D1181" s="560" t="s">
        <v>294</v>
      </c>
      <c r="E1181" s="560">
        <v>165</v>
      </c>
      <c r="F1181" s="560">
        <v>5</v>
      </c>
      <c r="G1181" s="560" t="s">
        <v>286</v>
      </c>
      <c r="H1181" s="566">
        <v>4.6283309957924264</v>
      </c>
      <c r="I1181" s="567" t="s">
        <v>489</v>
      </c>
      <c r="J1181" s="568" t="s">
        <v>520</v>
      </c>
      <c r="L1181" s="373">
        <v>1</v>
      </c>
    </row>
    <row r="1182" spans="1:12" ht="21">
      <c r="A1182" s="565">
        <v>1177</v>
      </c>
      <c r="B1182" s="560" t="s">
        <v>278</v>
      </c>
      <c r="C1182" s="560" t="s">
        <v>518</v>
      </c>
      <c r="D1182" s="560" t="s">
        <v>291</v>
      </c>
      <c r="E1182" s="560">
        <v>125</v>
      </c>
      <c r="F1182" s="560">
        <v>3</v>
      </c>
      <c r="G1182" s="560" t="s">
        <v>286</v>
      </c>
      <c r="H1182" s="566">
        <v>3.5063113604488079</v>
      </c>
      <c r="I1182" s="567" t="s">
        <v>489</v>
      </c>
      <c r="J1182" s="568" t="s">
        <v>288</v>
      </c>
      <c r="L1182" s="373">
        <v>1</v>
      </c>
    </row>
    <row r="1183" spans="1:12" ht="21">
      <c r="A1183" s="565">
        <v>1178</v>
      </c>
      <c r="B1183" s="560" t="s">
        <v>278</v>
      </c>
      <c r="C1183" s="560" t="s">
        <v>518</v>
      </c>
      <c r="D1183" s="560" t="s">
        <v>291</v>
      </c>
      <c r="E1183" s="560">
        <v>124</v>
      </c>
      <c r="F1183" s="560">
        <v>5</v>
      </c>
      <c r="G1183" s="560" t="s">
        <v>286</v>
      </c>
      <c r="H1183" s="566">
        <v>3.4782608695652177</v>
      </c>
      <c r="I1183" s="567" t="s">
        <v>489</v>
      </c>
      <c r="J1183" s="568" t="s">
        <v>288</v>
      </c>
      <c r="L1183" s="373">
        <v>1</v>
      </c>
    </row>
    <row r="1184" spans="1:12" ht="21">
      <c r="A1184" s="565">
        <v>1179</v>
      </c>
      <c r="B1184" s="560" t="s">
        <v>278</v>
      </c>
      <c r="C1184" s="560" t="s">
        <v>518</v>
      </c>
      <c r="D1184" s="560" t="s">
        <v>291</v>
      </c>
      <c r="E1184" s="560">
        <v>121</v>
      </c>
      <c r="F1184" s="560">
        <v>3</v>
      </c>
      <c r="G1184" s="560" t="s">
        <v>286</v>
      </c>
      <c r="H1184" s="566">
        <v>3.394109396914446</v>
      </c>
      <c r="I1184" s="567" t="s">
        <v>489</v>
      </c>
      <c r="J1184" s="568" t="s">
        <v>288</v>
      </c>
      <c r="L1184" s="373">
        <v>1</v>
      </c>
    </row>
    <row r="1185" spans="1:12" ht="21">
      <c r="A1185" s="565">
        <v>1180</v>
      </c>
      <c r="B1185" s="560" t="s">
        <v>278</v>
      </c>
      <c r="C1185" s="560" t="s">
        <v>518</v>
      </c>
      <c r="D1185" s="560" t="s">
        <v>291</v>
      </c>
      <c r="E1185" s="560">
        <v>121</v>
      </c>
      <c r="F1185" s="560">
        <v>4</v>
      </c>
      <c r="G1185" s="560" t="s">
        <v>286</v>
      </c>
      <c r="H1185" s="566">
        <v>3.394109396914446</v>
      </c>
      <c r="I1185" s="567" t="s">
        <v>489</v>
      </c>
      <c r="J1185" s="568" t="s">
        <v>288</v>
      </c>
      <c r="L1185" s="373">
        <v>1</v>
      </c>
    </row>
    <row r="1186" spans="1:12" ht="21">
      <c r="A1186" s="565">
        <v>1181</v>
      </c>
      <c r="B1186" s="560" t="s">
        <v>278</v>
      </c>
      <c r="C1186" s="560" t="s">
        <v>518</v>
      </c>
      <c r="D1186" s="560" t="s">
        <v>292</v>
      </c>
      <c r="E1186" s="560">
        <v>112</v>
      </c>
      <c r="F1186" s="560">
        <v>3</v>
      </c>
      <c r="G1186" s="560" t="s">
        <v>286</v>
      </c>
      <c r="H1186" s="566">
        <v>3.1416549789621318</v>
      </c>
      <c r="I1186" s="567" t="s">
        <v>489</v>
      </c>
      <c r="J1186" s="568" t="s">
        <v>288</v>
      </c>
      <c r="L1186" s="373">
        <v>1</v>
      </c>
    </row>
    <row r="1187" spans="1:12">
      <c r="A1187" s="565">
        <v>1182</v>
      </c>
      <c r="B1187" s="560" t="s">
        <v>278</v>
      </c>
      <c r="C1187" s="560" t="s">
        <v>518</v>
      </c>
      <c r="D1187" s="560" t="s">
        <v>292</v>
      </c>
      <c r="E1187" s="560">
        <v>111</v>
      </c>
      <c r="F1187" s="560">
        <v>2</v>
      </c>
      <c r="G1187" s="560" t="s">
        <v>286</v>
      </c>
      <c r="H1187" s="566">
        <v>3.1136044880785416</v>
      </c>
      <c r="I1187" s="567" t="s">
        <v>288</v>
      </c>
      <c r="J1187" s="568" t="s">
        <v>288</v>
      </c>
      <c r="L1187" s="373">
        <v>1</v>
      </c>
    </row>
    <row r="1188" spans="1:12" ht="21">
      <c r="A1188" s="565">
        <v>1183</v>
      </c>
      <c r="B1188" s="560" t="s">
        <v>278</v>
      </c>
      <c r="C1188" s="560" t="s">
        <v>518</v>
      </c>
      <c r="D1188" s="560" t="s">
        <v>291</v>
      </c>
      <c r="E1188" s="560">
        <v>126</v>
      </c>
      <c r="F1188" s="560">
        <v>3</v>
      </c>
      <c r="G1188" s="560" t="s">
        <v>286</v>
      </c>
      <c r="H1188" s="566">
        <v>3.5343618513323984</v>
      </c>
      <c r="I1188" s="567" t="s">
        <v>464</v>
      </c>
      <c r="J1188" s="568" t="s">
        <v>506</v>
      </c>
      <c r="L1188" s="373">
        <v>1</v>
      </c>
    </row>
    <row r="1189" spans="1:12">
      <c r="A1189" s="565">
        <v>1184</v>
      </c>
      <c r="B1189" s="560" t="s">
        <v>278</v>
      </c>
      <c r="C1189" s="560" t="s">
        <v>518</v>
      </c>
      <c r="D1189" s="560" t="s">
        <v>291</v>
      </c>
      <c r="E1189" s="560">
        <v>127</v>
      </c>
      <c r="F1189" s="560">
        <v>4</v>
      </c>
      <c r="G1189" s="560" t="s">
        <v>286</v>
      </c>
      <c r="H1189" s="566">
        <v>3.562412342215989</v>
      </c>
      <c r="I1189" s="567" t="s">
        <v>499</v>
      </c>
      <c r="J1189" s="568" t="s">
        <v>288</v>
      </c>
      <c r="L1189" s="373">
        <v>1</v>
      </c>
    </row>
    <row r="1190" spans="1:12" ht="21">
      <c r="A1190" s="565">
        <v>1185</v>
      </c>
      <c r="B1190" s="560" t="s">
        <v>278</v>
      </c>
      <c r="C1190" s="560" t="s">
        <v>518</v>
      </c>
      <c r="D1190" s="560" t="s">
        <v>291</v>
      </c>
      <c r="E1190" s="560">
        <v>148</v>
      </c>
      <c r="F1190" s="560">
        <v>6</v>
      </c>
      <c r="G1190" s="560" t="s">
        <v>286</v>
      </c>
      <c r="H1190" s="566">
        <v>4.1514726507713888</v>
      </c>
      <c r="I1190" s="567" t="s">
        <v>489</v>
      </c>
      <c r="J1190" s="568" t="s">
        <v>288</v>
      </c>
      <c r="L1190" s="373">
        <v>1</v>
      </c>
    </row>
    <row r="1191" spans="1:12">
      <c r="A1191" s="565">
        <v>1186</v>
      </c>
      <c r="B1191" s="560" t="s">
        <v>277</v>
      </c>
      <c r="C1191" s="560" t="s">
        <v>518</v>
      </c>
      <c r="D1191" s="560" t="s">
        <v>291</v>
      </c>
      <c r="E1191" s="560">
        <v>196</v>
      </c>
      <c r="F1191" s="560">
        <v>12</v>
      </c>
      <c r="G1191" s="560" t="s">
        <v>286</v>
      </c>
      <c r="H1191" s="566">
        <v>5.497896213183731</v>
      </c>
      <c r="I1191" s="567" t="s">
        <v>288</v>
      </c>
      <c r="J1191" s="568" t="s">
        <v>288</v>
      </c>
      <c r="L1191" s="373">
        <v>1</v>
      </c>
    </row>
    <row r="1192" spans="1:12" ht="21">
      <c r="A1192" s="565">
        <v>1187</v>
      </c>
      <c r="B1192" s="560" t="s">
        <v>278</v>
      </c>
      <c r="C1192" s="560" t="s">
        <v>518</v>
      </c>
      <c r="D1192" s="560" t="s">
        <v>291</v>
      </c>
      <c r="E1192" s="560">
        <v>153</v>
      </c>
      <c r="F1192" s="560">
        <v>6</v>
      </c>
      <c r="G1192" s="560" t="s">
        <v>286</v>
      </c>
      <c r="H1192" s="566">
        <v>4.2917251051893412</v>
      </c>
      <c r="I1192" s="567" t="s">
        <v>489</v>
      </c>
      <c r="J1192" s="568" t="s">
        <v>288</v>
      </c>
      <c r="L1192" s="373">
        <v>1</v>
      </c>
    </row>
    <row r="1193" spans="1:12" ht="21">
      <c r="A1193" s="565">
        <v>1188</v>
      </c>
      <c r="B1193" s="560" t="s">
        <v>278</v>
      </c>
      <c r="C1193" s="560" t="s">
        <v>518</v>
      </c>
      <c r="D1193" s="560" t="s">
        <v>294</v>
      </c>
      <c r="E1193" s="560">
        <v>145</v>
      </c>
      <c r="F1193" s="560">
        <v>4</v>
      </c>
      <c r="G1193" s="560" t="s">
        <v>286</v>
      </c>
      <c r="H1193" s="566">
        <v>4.0673211781206176</v>
      </c>
      <c r="I1193" s="567" t="s">
        <v>489</v>
      </c>
      <c r="J1193" s="568" t="s">
        <v>520</v>
      </c>
      <c r="L1193" s="373">
        <v>1</v>
      </c>
    </row>
    <row r="1194" spans="1:12" ht="21">
      <c r="A1194" s="565">
        <v>1189</v>
      </c>
      <c r="B1194" s="560" t="s">
        <v>278</v>
      </c>
      <c r="C1194" s="560" t="s">
        <v>518</v>
      </c>
      <c r="D1194" s="560" t="s">
        <v>292</v>
      </c>
      <c r="E1194" s="560">
        <v>161</v>
      </c>
      <c r="F1194" s="560">
        <v>5</v>
      </c>
      <c r="G1194" s="560" t="s">
        <v>286</v>
      </c>
      <c r="H1194" s="566">
        <v>4.5161290322580649</v>
      </c>
      <c r="I1194" s="567" t="s">
        <v>464</v>
      </c>
      <c r="J1194" s="568" t="s">
        <v>506</v>
      </c>
      <c r="L1194" s="373">
        <v>1</v>
      </c>
    </row>
    <row r="1195" spans="1:12" ht="21">
      <c r="A1195" s="565">
        <v>1190</v>
      </c>
      <c r="B1195" s="560" t="s">
        <v>277</v>
      </c>
      <c r="C1195" s="560" t="s">
        <v>518</v>
      </c>
      <c r="D1195" s="560" t="s">
        <v>292</v>
      </c>
      <c r="E1195" s="560">
        <v>168</v>
      </c>
      <c r="F1195" s="560">
        <v>7</v>
      </c>
      <c r="G1195" s="560" t="s">
        <v>286</v>
      </c>
      <c r="H1195" s="566">
        <v>4.7124824684431976</v>
      </c>
      <c r="I1195" s="567" t="s">
        <v>489</v>
      </c>
      <c r="J1195" s="568" t="s">
        <v>288</v>
      </c>
      <c r="L1195" s="373">
        <v>1</v>
      </c>
    </row>
    <row r="1196" spans="1:12">
      <c r="A1196" s="565">
        <v>1191</v>
      </c>
      <c r="B1196" s="560" t="s">
        <v>278</v>
      </c>
      <c r="C1196" s="560" t="s">
        <v>518</v>
      </c>
      <c r="D1196" s="560" t="s">
        <v>292</v>
      </c>
      <c r="E1196" s="560">
        <v>118</v>
      </c>
      <c r="F1196" s="560">
        <v>3</v>
      </c>
      <c r="G1196" s="560" t="s">
        <v>286</v>
      </c>
      <c r="H1196" s="566">
        <v>3.3099579242636747</v>
      </c>
      <c r="I1196" s="567" t="s">
        <v>288</v>
      </c>
      <c r="J1196" s="568" t="s">
        <v>288</v>
      </c>
      <c r="L1196" s="373">
        <v>1</v>
      </c>
    </row>
    <row r="1197" spans="1:12" ht="21">
      <c r="A1197" s="565">
        <v>1192</v>
      </c>
      <c r="B1197" s="560" t="s">
        <v>278</v>
      </c>
      <c r="C1197" s="560" t="s">
        <v>518</v>
      </c>
      <c r="D1197" s="560" t="s">
        <v>291</v>
      </c>
      <c r="E1197" s="560">
        <v>142</v>
      </c>
      <c r="F1197" s="560">
        <v>3</v>
      </c>
      <c r="G1197" s="560" t="s">
        <v>286</v>
      </c>
      <c r="H1197" s="566">
        <v>3.9831697054698458</v>
      </c>
      <c r="I1197" s="567" t="s">
        <v>489</v>
      </c>
      <c r="J1197" s="568" t="s">
        <v>288</v>
      </c>
      <c r="L1197" s="373">
        <v>1</v>
      </c>
    </row>
    <row r="1198" spans="1:12">
      <c r="A1198" s="565">
        <v>1193</v>
      </c>
      <c r="B1198" s="560" t="s">
        <v>278</v>
      </c>
      <c r="C1198" s="560" t="s">
        <v>518</v>
      </c>
      <c r="D1198" s="560" t="s">
        <v>292</v>
      </c>
      <c r="E1198" s="560">
        <v>115</v>
      </c>
      <c r="F1198" s="560">
        <v>2</v>
      </c>
      <c r="G1198" s="560" t="s">
        <v>286</v>
      </c>
      <c r="H1198" s="566">
        <v>3.2258064516129035</v>
      </c>
      <c r="I1198" s="567" t="s">
        <v>499</v>
      </c>
      <c r="J1198" s="568" t="s">
        <v>288</v>
      </c>
      <c r="L1198" s="373">
        <v>1</v>
      </c>
    </row>
    <row r="1199" spans="1:12" ht="21">
      <c r="A1199" s="565">
        <v>1194</v>
      </c>
      <c r="B1199" s="560" t="s">
        <v>278</v>
      </c>
      <c r="C1199" s="560" t="s">
        <v>518</v>
      </c>
      <c r="D1199" s="560" t="s">
        <v>293</v>
      </c>
      <c r="E1199" s="560">
        <v>164</v>
      </c>
      <c r="F1199" s="560">
        <v>5</v>
      </c>
      <c r="G1199" s="560" t="s">
        <v>286</v>
      </c>
      <c r="H1199" s="566">
        <v>4.6002805049088362</v>
      </c>
      <c r="I1199" s="567" t="s">
        <v>489</v>
      </c>
      <c r="J1199" s="568" t="s">
        <v>288</v>
      </c>
      <c r="L1199" s="373">
        <v>1</v>
      </c>
    </row>
    <row r="1200" spans="1:12" ht="21">
      <c r="A1200" s="565">
        <v>1195</v>
      </c>
      <c r="B1200" s="560" t="s">
        <v>277</v>
      </c>
      <c r="C1200" s="560" t="s">
        <v>518</v>
      </c>
      <c r="D1200" s="560" t="s">
        <v>291</v>
      </c>
      <c r="E1200" s="560">
        <v>183</v>
      </c>
      <c r="F1200" s="560">
        <v>8</v>
      </c>
      <c r="G1200" s="560" t="s">
        <v>286</v>
      </c>
      <c r="H1200" s="566">
        <v>5.1332398316970549</v>
      </c>
      <c r="I1200" s="567" t="s">
        <v>464</v>
      </c>
      <c r="J1200" s="568" t="s">
        <v>506</v>
      </c>
      <c r="L1200" s="373">
        <v>1</v>
      </c>
    </row>
    <row r="1201" spans="1:12" ht="21">
      <c r="A1201" s="565">
        <v>1196</v>
      </c>
      <c r="B1201" s="560" t="s">
        <v>278</v>
      </c>
      <c r="C1201" s="560" t="s">
        <v>518</v>
      </c>
      <c r="D1201" s="560" t="s">
        <v>293</v>
      </c>
      <c r="E1201" s="560">
        <v>148</v>
      </c>
      <c r="F1201" s="560">
        <v>4</v>
      </c>
      <c r="G1201" s="560" t="s">
        <v>286</v>
      </c>
      <c r="H1201" s="566">
        <v>4.1514726507713888</v>
      </c>
      <c r="I1201" s="567" t="s">
        <v>489</v>
      </c>
      <c r="J1201" s="568" t="s">
        <v>288</v>
      </c>
      <c r="L1201" s="373">
        <v>1</v>
      </c>
    </row>
    <row r="1202" spans="1:12" ht="21">
      <c r="A1202" s="565">
        <v>1197</v>
      </c>
      <c r="B1202" s="560" t="s">
        <v>278</v>
      </c>
      <c r="C1202" s="560" t="s">
        <v>518</v>
      </c>
      <c r="D1202" s="560" t="s">
        <v>291</v>
      </c>
      <c r="E1202" s="560">
        <v>128</v>
      </c>
      <c r="F1202" s="560">
        <v>3</v>
      </c>
      <c r="G1202" s="560" t="s">
        <v>286</v>
      </c>
      <c r="H1202" s="566">
        <v>3.5904628330995796</v>
      </c>
      <c r="I1202" s="567" t="s">
        <v>489</v>
      </c>
      <c r="J1202" s="568" t="s">
        <v>288</v>
      </c>
      <c r="L1202" s="373">
        <v>1</v>
      </c>
    </row>
    <row r="1203" spans="1:12">
      <c r="A1203" s="565">
        <v>1198</v>
      </c>
      <c r="B1203" s="560" t="s">
        <v>278</v>
      </c>
      <c r="C1203" s="560" t="s">
        <v>518</v>
      </c>
      <c r="D1203" s="560" t="s">
        <v>291</v>
      </c>
      <c r="E1203" s="560">
        <v>153</v>
      </c>
      <c r="F1203" s="560">
        <v>6</v>
      </c>
      <c r="G1203" s="560" t="s">
        <v>286</v>
      </c>
      <c r="H1203" s="566">
        <v>4.2917251051893412</v>
      </c>
      <c r="I1203" s="567" t="s">
        <v>499</v>
      </c>
      <c r="J1203" s="568" t="s">
        <v>288</v>
      </c>
      <c r="L1203" s="373">
        <v>1</v>
      </c>
    </row>
    <row r="1204" spans="1:12">
      <c r="A1204" s="565">
        <v>1199</v>
      </c>
      <c r="B1204" s="560" t="s">
        <v>278</v>
      </c>
      <c r="C1204" s="560" t="s">
        <v>518</v>
      </c>
      <c r="D1204" s="560" t="s">
        <v>292</v>
      </c>
      <c r="E1204" s="560">
        <v>123</v>
      </c>
      <c r="F1204" s="560">
        <v>4</v>
      </c>
      <c r="G1204" s="560" t="s">
        <v>286</v>
      </c>
      <c r="H1204" s="566">
        <v>3.4502103786816272</v>
      </c>
      <c r="I1204" s="567" t="s">
        <v>464</v>
      </c>
      <c r="J1204" s="568" t="s">
        <v>288</v>
      </c>
      <c r="L1204" s="373">
        <v>1</v>
      </c>
    </row>
    <row r="1205" spans="1:12">
      <c r="A1205" s="565">
        <v>1200</v>
      </c>
      <c r="B1205" s="560" t="s">
        <v>278</v>
      </c>
      <c r="C1205" s="560" t="s">
        <v>518</v>
      </c>
      <c r="D1205" s="560" t="s">
        <v>292</v>
      </c>
      <c r="E1205" s="560">
        <v>136</v>
      </c>
      <c r="F1205" s="560">
        <v>2</v>
      </c>
      <c r="G1205" s="560" t="s">
        <v>286</v>
      </c>
      <c r="H1205" s="566">
        <v>3.8148667601683033</v>
      </c>
      <c r="I1205" s="567" t="s">
        <v>464</v>
      </c>
      <c r="J1205" s="568" t="s">
        <v>288</v>
      </c>
      <c r="L1205" s="373">
        <v>1</v>
      </c>
    </row>
    <row r="1206" spans="1:12" ht="21">
      <c r="A1206" s="565">
        <v>1201</v>
      </c>
      <c r="B1206" s="560" t="s">
        <v>278</v>
      </c>
      <c r="C1206" s="560" t="s">
        <v>518</v>
      </c>
      <c r="D1206" s="560" t="s">
        <v>291</v>
      </c>
      <c r="E1206" s="560">
        <v>137</v>
      </c>
      <c r="F1206" s="560">
        <v>3</v>
      </c>
      <c r="G1206" s="560" t="s">
        <v>286</v>
      </c>
      <c r="H1206" s="566">
        <v>3.8429172510518934</v>
      </c>
      <c r="I1206" s="567" t="s">
        <v>464</v>
      </c>
      <c r="J1206" s="568" t="s">
        <v>506</v>
      </c>
      <c r="L1206" s="373">
        <v>1</v>
      </c>
    </row>
    <row r="1207" spans="1:12" ht="21">
      <c r="A1207" s="565">
        <v>1202</v>
      </c>
      <c r="B1207" s="560" t="s">
        <v>278</v>
      </c>
      <c r="C1207" s="560" t="s">
        <v>518</v>
      </c>
      <c r="D1207" s="560" t="s">
        <v>293</v>
      </c>
      <c r="E1207" s="560">
        <v>142</v>
      </c>
      <c r="F1207" s="560">
        <v>5</v>
      </c>
      <c r="G1207" s="560" t="s">
        <v>286</v>
      </c>
      <c r="H1207" s="566">
        <v>3.9831697054698458</v>
      </c>
      <c r="I1207" s="567" t="s">
        <v>489</v>
      </c>
      <c r="J1207" s="568" t="s">
        <v>288</v>
      </c>
      <c r="L1207" s="373">
        <v>1</v>
      </c>
    </row>
    <row r="1208" spans="1:12" ht="21">
      <c r="A1208" s="565">
        <v>1203</v>
      </c>
      <c r="B1208" s="560" t="s">
        <v>278</v>
      </c>
      <c r="C1208" s="560" t="s">
        <v>518</v>
      </c>
      <c r="D1208" s="560" t="s">
        <v>291</v>
      </c>
      <c r="E1208" s="560">
        <v>128</v>
      </c>
      <c r="F1208" s="560">
        <v>3</v>
      </c>
      <c r="G1208" s="560" t="s">
        <v>286</v>
      </c>
      <c r="H1208" s="566">
        <v>3.5904628330995796</v>
      </c>
      <c r="I1208" s="567" t="s">
        <v>489</v>
      </c>
      <c r="J1208" s="568" t="s">
        <v>288</v>
      </c>
      <c r="L1208" s="373">
        <v>1</v>
      </c>
    </row>
    <row r="1209" spans="1:12" ht="21">
      <c r="A1209" s="565">
        <v>1204</v>
      </c>
      <c r="B1209" s="560" t="s">
        <v>278</v>
      </c>
      <c r="C1209" s="560" t="s">
        <v>518</v>
      </c>
      <c r="D1209" s="560" t="s">
        <v>291</v>
      </c>
      <c r="E1209" s="560">
        <v>132</v>
      </c>
      <c r="F1209" s="560">
        <v>4</v>
      </c>
      <c r="G1209" s="560" t="s">
        <v>286</v>
      </c>
      <c r="H1209" s="566">
        <v>3.7026647966339414</v>
      </c>
      <c r="I1209" s="567" t="s">
        <v>489</v>
      </c>
      <c r="J1209" s="568" t="s">
        <v>288</v>
      </c>
      <c r="L1209" s="373">
        <v>1</v>
      </c>
    </row>
    <row r="1210" spans="1:12">
      <c r="A1210" s="565">
        <v>1205</v>
      </c>
      <c r="B1210" s="560" t="s">
        <v>278</v>
      </c>
      <c r="C1210" s="560" t="s">
        <v>518</v>
      </c>
      <c r="D1210" s="560" t="s">
        <v>292</v>
      </c>
      <c r="E1210" s="560">
        <v>115</v>
      </c>
      <c r="F1210" s="560">
        <v>2</v>
      </c>
      <c r="G1210" s="560" t="s">
        <v>286</v>
      </c>
      <c r="H1210" s="566">
        <v>3.2258064516129035</v>
      </c>
      <c r="I1210" s="567" t="s">
        <v>464</v>
      </c>
      <c r="J1210" s="568" t="s">
        <v>288</v>
      </c>
      <c r="L1210" s="373">
        <v>1</v>
      </c>
    </row>
    <row r="1211" spans="1:12">
      <c r="A1211" s="565">
        <v>1206</v>
      </c>
      <c r="B1211" s="560" t="s">
        <v>278</v>
      </c>
      <c r="C1211" s="560" t="s">
        <v>518</v>
      </c>
      <c r="D1211" s="560" t="s">
        <v>291</v>
      </c>
      <c r="E1211" s="560">
        <v>112</v>
      </c>
      <c r="F1211" s="560">
        <v>3</v>
      </c>
      <c r="G1211" s="560" t="s">
        <v>286</v>
      </c>
      <c r="H1211" s="566">
        <v>3.1416549789621318</v>
      </c>
      <c r="I1211" s="567" t="s">
        <v>464</v>
      </c>
      <c r="J1211" s="568" t="s">
        <v>288</v>
      </c>
      <c r="L1211" s="373">
        <v>1</v>
      </c>
    </row>
    <row r="1212" spans="1:12">
      <c r="A1212" s="565">
        <v>1207</v>
      </c>
      <c r="B1212" s="560" t="s">
        <v>278</v>
      </c>
      <c r="C1212" s="560" t="s">
        <v>528</v>
      </c>
      <c r="D1212" s="560" t="s">
        <v>290</v>
      </c>
      <c r="E1212" s="560">
        <v>97</v>
      </c>
      <c r="F1212" s="560">
        <v>2</v>
      </c>
      <c r="G1212" s="560" t="s">
        <v>286</v>
      </c>
      <c r="H1212" s="566">
        <v>2.7208976157082749</v>
      </c>
      <c r="I1212" s="567" t="s">
        <v>288</v>
      </c>
      <c r="J1212" s="568" t="s">
        <v>288</v>
      </c>
      <c r="L1212" s="373">
        <v>1</v>
      </c>
    </row>
    <row r="1213" spans="1:12">
      <c r="A1213" s="565">
        <v>1208</v>
      </c>
      <c r="B1213" s="560" t="s">
        <v>278</v>
      </c>
      <c r="C1213" s="560" t="s">
        <v>528</v>
      </c>
      <c r="D1213" s="560" t="s">
        <v>291</v>
      </c>
      <c r="E1213" s="560">
        <v>111</v>
      </c>
      <c r="F1213" s="560">
        <v>4</v>
      </c>
      <c r="G1213" s="560" t="s">
        <v>286</v>
      </c>
      <c r="H1213" s="566">
        <v>3.1136044880785416</v>
      </c>
      <c r="I1213" s="567" t="s">
        <v>464</v>
      </c>
      <c r="J1213" s="568" t="s">
        <v>288</v>
      </c>
      <c r="L1213" s="373">
        <v>1</v>
      </c>
    </row>
    <row r="1214" spans="1:12" ht="21">
      <c r="A1214" s="565">
        <v>1209</v>
      </c>
      <c r="B1214" s="560" t="s">
        <v>278</v>
      </c>
      <c r="C1214" s="560" t="s">
        <v>528</v>
      </c>
      <c r="D1214" s="560" t="s">
        <v>292</v>
      </c>
      <c r="E1214" s="560">
        <v>147</v>
      </c>
      <c r="F1214" s="560">
        <v>3</v>
      </c>
      <c r="G1214" s="560" t="s">
        <v>286</v>
      </c>
      <c r="H1214" s="566">
        <v>4.1234221598877978</v>
      </c>
      <c r="I1214" s="567" t="s">
        <v>464</v>
      </c>
      <c r="J1214" s="568" t="s">
        <v>506</v>
      </c>
      <c r="L1214" s="373">
        <v>1</v>
      </c>
    </row>
    <row r="1215" spans="1:12">
      <c r="A1215" s="565">
        <v>1210</v>
      </c>
      <c r="B1215" s="560" t="s">
        <v>278</v>
      </c>
      <c r="C1215" s="560" t="s">
        <v>528</v>
      </c>
      <c r="D1215" s="560" t="s">
        <v>290</v>
      </c>
      <c r="E1215" s="560">
        <v>110</v>
      </c>
      <c r="F1215" s="560">
        <v>2</v>
      </c>
      <c r="G1215" s="560" t="s">
        <v>286</v>
      </c>
      <c r="H1215" s="566">
        <v>3.085553997194951</v>
      </c>
      <c r="I1215" s="567" t="s">
        <v>288</v>
      </c>
      <c r="J1215" s="568" t="s">
        <v>288</v>
      </c>
      <c r="L1215" s="373">
        <v>1</v>
      </c>
    </row>
    <row r="1216" spans="1:12">
      <c r="A1216" s="565">
        <v>1211</v>
      </c>
      <c r="B1216" s="560" t="s">
        <v>278</v>
      </c>
      <c r="C1216" s="560" t="s">
        <v>528</v>
      </c>
      <c r="D1216" s="560" t="s">
        <v>291</v>
      </c>
      <c r="E1216" s="560">
        <v>143</v>
      </c>
      <c r="F1216" s="560">
        <v>3</v>
      </c>
      <c r="G1216" s="560" t="s">
        <v>286</v>
      </c>
      <c r="H1216" s="566">
        <v>4.0112201963534364</v>
      </c>
      <c r="I1216" s="567" t="s">
        <v>499</v>
      </c>
      <c r="J1216" s="568" t="s">
        <v>288</v>
      </c>
      <c r="L1216" s="373">
        <v>1</v>
      </c>
    </row>
    <row r="1217" spans="1:12" ht="21">
      <c r="A1217" s="565">
        <v>1212</v>
      </c>
      <c r="B1217" s="560" t="s">
        <v>278</v>
      </c>
      <c r="C1217" s="560" t="s">
        <v>528</v>
      </c>
      <c r="D1217" s="560" t="s">
        <v>293</v>
      </c>
      <c r="E1217" s="560">
        <v>136</v>
      </c>
      <c r="F1217" s="560">
        <v>4</v>
      </c>
      <c r="G1217" s="560" t="s">
        <v>286</v>
      </c>
      <c r="H1217" s="566">
        <v>3.8148667601683033</v>
      </c>
      <c r="I1217" s="567" t="s">
        <v>489</v>
      </c>
      <c r="J1217" s="568" t="s">
        <v>474</v>
      </c>
      <c r="L1217" s="373">
        <v>1</v>
      </c>
    </row>
    <row r="1218" spans="1:12" ht="21">
      <c r="A1218" s="565">
        <v>1213</v>
      </c>
      <c r="B1218" s="560" t="s">
        <v>278</v>
      </c>
      <c r="C1218" s="560" t="s">
        <v>528</v>
      </c>
      <c r="D1218" s="560" t="s">
        <v>291</v>
      </c>
      <c r="E1218" s="560">
        <v>162</v>
      </c>
      <c r="F1218" s="560">
        <v>5</v>
      </c>
      <c r="G1218" s="560" t="s">
        <v>286</v>
      </c>
      <c r="H1218" s="566">
        <v>4.5441795231416551</v>
      </c>
      <c r="I1218" s="567" t="s">
        <v>489</v>
      </c>
      <c r="J1218" s="568" t="s">
        <v>288</v>
      </c>
      <c r="L1218" s="373">
        <v>1</v>
      </c>
    </row>
    <row r="1219" spans="1:12">
      <c r="A1219" s="565">
        <v>1214</v>
      </c>
      <c r="B1219" s="560" t="s">
        <v>278</v>
      </c>
      <c r="C1219" s="560" t="s">
        <v>528</v>
      </c>
      <c r="D1219" s="560" t="s">
        <v>292</v>
      </c>
      <c r="E1219" s="560">
        <v>112</v>
      </c>
      <c r="F1219" s="560">
        <v>2</v>
      </c>
      <c r="G1219" s="560" t="s">
        <v>286</v>
      </c>
      <c r="H1219" s="566">
        <v>3.1416549789621318</v>
      </c>
      <c r="I1219" s="567" t="s">
        <v>288</v>
      </c>
      <c r="J1219" s="568" t="s">
        <v>288</v>
      </c>
      <c r="L1219" s="373">
        <v>1</v>
      </c>
    </row>
    <row r="1220" spans="1:12">
      <c r="A1220" s="565">
        <v>1215</v>
      </c>
      <c r="B1220" s="560" t="s">
        <v>278</v>
      </c>
      <c r="C1220" s="560" t="s">
        <v>528</v>
      </c>
      <c r="D1220" s="560" t="s">
        <v>291</v>
      </c>
      <c r="E1220" s="560">
        <v>143</v>
      </c>
      <c r="F1220" s="560">
        <v>3</v>
      </c>
      <c r="G1220" s="560" t="s">
        <v>286</v>
      </c>
      <c r="H1220" s="566">
        <v>4.0112201963534364</v>
      </c>
      <c r="I1220" s="567" t="s">
        <v>464</v>
      </c>
      <c r="J1220" s="568" t="s">
        <v>288</v>
      </c>
      <c r="L1220" s="373">
        <v>1</v>
      </c>
    </row>
    <row r="1221" spans="1:12">
      <c r="A1221" s="565">
        <v>1216</v>
      </c>
      <c r="B1221" s="560" t="s">
        <v>278</v>
      </c>
      <c r="C1221" s="560" t="s">
        <v>528</v>
      </c>
      <c r="D1221" s="560" t="s">
        <v>291</v>
      </c>
      <c r="E1221" s="560">
        <v>158</v>
      </c>
      <c r="F1221" s="560">
        <v>5</v>
      </c>
      <c r="G1221" s="560" t="s">
        <v>286</v>
      </c>
      <c r="H1221" s="566">
        <v>4.4319775596072937</v>
      </c>
      <c r="I1221" s="567" t="s">
        <v>499</v>
      </c>
      <c r="J1221" s="568" t="s">
        <v>288</v>
      </c>
      <c r="L1221" s="373">
        <v>1</v>
      </c>
    </row>
    <row r="1222" spans="1:12">
      <c r="A1222" s="565">
        <v>1217</v>
      </c>
      <c r="B1222" s="560" t="s">
        <v>278</v>
      </c>
      <c r="C1222" s="560" t="s">
        <v>528</v>
      </c>
      <c r="D1222" s="560" t="s">
        <v>292</v>
      </c>
      <c r="E1222" s="560">
        <v>115</v>
      </c>
      <c r="F1222" s="560">
        <v>3</v>
      </c>
      <c r="G1222" s="560" t="s">
        <v>286</v>
      </c>
      <c r="H1222" s="566">
        <v>3.2258064516129035</v>
      </c>
      <c r="I1222" s="567" t="s">
        <v>464</v>
      </c>
      <c r="J1222" s="568" t="s">
        <v>288</v>
      </c>
      <c r="L1222" s="373">
        <v>1</v>
      </c>
    </row>
    <row r="1223" spans="1:12">
      <c r="A1223" s="565">
        <v>1218</v>
      </c>
      <c r="B1223" s="560" t="s">
        <v>278</v>
      </c>
      <c r="C1223" s="560" t="s">
        <v>528</v>
      </c>
      <c r="D1223" s="560" t="s">
        <v>291</v>
      </c>
      <c r="E1223" s="560">
        <v>133</v>
      </c>
      <c r="F1223" s="560">
        <v>3</v>
      </c>
      <c r="G1223" s="560" t="s">
        <v>286</v>
      </c>
      <c r="H1223" s="566">
        <v>3.7307152875175316</v>
      </c>
      <c r="I1223" s="567" t="s">
        <v>288</v>
      </c>
      <c r="J1223" s="568" t="s">
        <v>288</v>
      </c>
      <c r="L1223" s="373">
        <v>1</v>
      </c>
    </row>
    <row r="1224" spans="1:12">
      <c r="A1224" s="565">
        <v>1219</v>
      </c>
      <c r="B1224" s="560" t="s">
        <v>278</v>
      </c>
      <c r="C1224" s="560" t="s">
        <v>536</v>
      </c>
      <c r="D1224" s="560" t="s">
        <v>291</v>
      </c>
      <c r="E1224" s="560">
        <v>142</v>
      </c>
      <c r="F1224" s="560">
        <v>4</v>
      </c>
      <c r="G1224" s="560" t="s">
        <v>286</v>
      </c>
      <c r="H1224" s="566">
        <v>3.9831697054698458</v>
      </c>
      <c r="I1224" s="567" t="s">
        <v>464</v>
      </c>
      <c r="J1224" s="568" t="s">
        <v>288</v>
      </c>
      <c r="L1224" s="373">
        <v>1</v>
      </c>
    </row>
    <row r="1225" spans="1:12">
      <c r="A1225" s="565">
        <v>1220</v>
      </c>
      <c r="B1225" s="560" t="s">
        <v>278</v>
      </c>
      <c r="C1225" s="560" t="s">
        <v>536</v>
      </c>
      <c r="D1225" s="560" t="s">
        <v>292</v>
      </c>
      <c r="E1225" s="560">
        <v>156</v>
      </c>
      <c r="F1225" s="560">
        <v>5</v>
      </c>
      <c r="G1225" s="560" t="s">
        <v>286</v>
      </c>
      <c r="H1225" s="566">
        <v>4.3758765778401125</v>
      </c>
      <c r="I1225" s="567" t="s">
        <v>288</v>
      </c>
      <c r="J1225" s="568" t="s">
        <v>288</v>
      </c>
      <c r="L1225" s="373">
        <v>1</v>
      </c>
    </row>
    <row r="1226" spans="1:12" ht="21">
      <c r="A1226" s="565">
        <v>1221</v>
      </c>
      <c r="B1226" s="560" t="s">
        <v>278</v>
      </c>
      <c r="C1226" s="560" t="s">
        <v>536</v>
      </c>
      <c r="D1226" s="560" t="s">
        <v>291</v>
      </c>
      <c r="E1226" s="560">
        <v>168</v>
      </c>
      <c r="F1226" s="560">
        <v>7</v>
      </c>
      <c r="G1226" s="560" t="s">
        <v>286</v>
      </c>
      <c r="H1226" s="566">
        <v>4.7124824684431976</v>
      </c>
      <c r="I1226" s="567" t="s">
        <v>464</v>
      </c>
      <c r="J1226" s="568" t="s">
        <v>506</v>
      </c>
      <c r="L1226" s="373">
        <v>1</v>
      </c>
    </row>
    <row r="1227" spans="1:12">
      <c r="A1227" s="565">
        <v>1222</v>
      </c>
      <c r="B1227" s="560" t="s">
        <v>278</v>
      </c>
      <c r="C1227" s="560" t="s">
        <v>536</v>
      </c>
      <c r="D1227" s="560" t="s">
        <v>292</v>
      </c>
      <c r="E1227" s="560">
        <v>157</v>
      </c>
      <c r="F1227" s="560">
        <v>6</v>
      </c>
      <c r="G1227" s="560" t="s">
        <v>286</v>
      </c>
      <c r="H1227" s="566">
        <v>4.4039270687237027</v>
      </c>
      <c r="I1227" s="567" t="s">
        <v>464</v>
      </c>
      <c r="J1227" s="568" t="s">
        <v>288</v>
      </c>
      <c r="L1227" s="373">
        <v>1</v>
      </c>
    </row>
    <row r="1228" spans="1:12">
      <c r="A1228" s="565">
        <v>1223</v>
      </c>
      <c r="B1228" s="560" t="s">
        <v>278</v>
      </c>
      <c r="C1228" s="560" t="s">
        <v>536</v>
      </c>
      <c r="D1228" s="560" t="s">
        <v>291</v>
      </c>
      <c r="E1228" s="560">
        <v>152</v>
      </c>
      <c r="F1228" s="560">
        <v>5</v>
      </c>
      <c r="G1228" s="560" t="s">
        <v>286</v>
      </c>
      <c r="H1228" s="566">
        <v>4.2636746143057502</v>
      </c>
      <c r="I1228" s="567" t="s">
        <v>499</v>
      </c>
      <c r="J1228" s="568" t="s">
        <v>288</v>
      </c>
      <c r="L1228" s="373">
        <v>1</v>
      </c>
    </row>
    <row r="1229" spans="1:12">
      <c r="A1229" s="565">
        <v>1224</v>
      </c>
      <c r="B1229" s="560" t="s">
        <v>278</v>
      </c>
      <c r="C1229" s="560" t="s">
        <v>536</v>
      </c>
      <c r="D1229" s="560" t="s">
        <v>292</v>
      </c>
      <c r="E1229" s="560">
        <v>141</v>
      </c>
      <c r="F1229" s="560">
        <v>4</v>
      </c>
      <c r="G1229" s="560" t="s">
        <v>286</v>
      </c>
      <c r="H1229" s="566">
        <v>3.9551192145862553</v>
      </c>
      <c r="I1229" s="567" t="s">
        <v>464</v>
      </c>
      <c r="J1229" s="568" t="s">
        <v>288</v>
      </c>
      <c r="L1229" s="373">
        <v>1</v>
      </c>
    </row>
    <row r="1230" spans="1:12">
      <c r="A1230" s="565">
        <v>1225</v>
      </c>
      <c r="B1230" s="560" t="s">
        <v>278</v>
      </c>
      <c r="C1230" s="560" t="s">
        <v>526</v>
      </c>
      <c r="D1230" s="560" t="s">
        <v>292</v>
      </c>
      <c r="E1230" s="560">
        <v>138</v>
      </c>
      <c r="F1230" s="560">
        <v>3</v>
      </c>
      <c r="G1230" s="560" t="s">
        <v>286</v>
      </c>
      <c r="H1230" s="566">
        <v>3.870967741935484</v>
      </c>
      <c r="I1230" s="567" t="s">
        <v>464</v>
      </c>
      <c r="J1230" s="568" t="s">
        <v>288</v>
      </c>
      <c r="L1230" s="373">
        <v>1</v>
      </c>
    </row>
    <row r="1231" spans="1:12">
      <c r="A1231" s="565">
        <v>1226</v>
      </c>
      <c r="B1231" s="560" t="s">
        <v>278</v>
      </c>
      <c r="C1231" s="560" t="s">
        <v>526</v>
      </c>
      <c r="D1231" s="560" t="s">
        <v>292</v>
      </c>
      <c r="E1231" s="560">
        <v>147</v>
      </c>
      <c r="F1231" s="560">
        <v>5</v>
      </c>
      <c r="G1231" s="560" t="s">
        <v>286</v>
      </c>
      <c r="H1231" s="566">
        <v>4.1234221598877978</v>
      </c>
      <c r="I1231" s="567" t="s">
        <v>288</v>
      </c>
      <c r="J1231" s="568" t="s">
        <v>288</v>
      </c>
      <c r="L1231" s="373">
        <v>1</v>
      </c>
    </row>
    <row r="1232" spans="1:12">
      <c r="A1232" s="565">
        <v>1227</v>
      </c>
      <c r="B1232" s="560" t="s">
        <v>278</v>
      </c>
      <c r="C1232" s="560" t="s">
        <v>526</v>
      </c>
      <c r="D1232" s="560" t="s">
        <v>291</v>
      </c>
      <c r="E1232" s="560">
        <v>110</v>
      </c>
      <c r="F1232" s="560">
        <v>2</v>
      </c>
      <c r="G1232" s="560" t="s">
        <v>286</v>
      </c>
      <c r="H1232" s="566">
        <v>3.085553997194951</v>
      </c>
      <c r="I1232" s="567" t="s">
        <v>464</v>
      </c>
      <c r="J1232" s="568" t="s">
        <v>288</v>
      </c>
      <c r="L1232" s="373">
        <v>1</v>
      </c>
    </row>
    <row r="1233" spans="1:12">
      <c r="A1233" s="565">
        <v>1228</v>
      </c>
      <c r="B1233" s="560" t="s">
        <v>278</v>
      </c>
      <c r="C1233" s="560" t="s">
        <v>526</v>
      </c>
      <c r="D1233" s="560" t="s">
        <v>292</v>
      </c>
      <c r="E1233" s="560">
        <v>97</v>
      </c>
      <c r="F1233" s="560">
        <v>3</v>
      </c>
      <c r="G1233" s="560" t="s">
        <v>286</v>
      </c>
      <c r="H1233" s="566">
        <v>2.7208976157082749</v>
      </c>
      <c r="I1233" s="567" t="s">
        <v>288</v>
      </c>
      <c r="J1233" s="568" t="s">
        <v>288</v>
      </c>
      <c r="L1233" s="373">
        <v>1</v>
      </c>
    </row>
    <row r="1234" spans="1:12">
      <c r="A1234" s="565">
        <v>1229</v>
      </c>
      <c r="B1234" s="560" t="s">
        <v>278</v>
      </c>
      <c r="C1234" s="560" t="s">
        <v>526</v>
      </c>
      <c r="D1234" s="560" t="s">
        <v>291</v>
      </c>
      <c r="E1234" s="560">
        <v>152</v>
      </c>
      <c r="F1234" s="560">
        <v>4</v>
      </c>
      <c r="G1234" s="560" t="s">
        <v>286</v>
      </c>
      <c r="H1234" s="566">
        <v>4.2636746143057502</v>
      </c>
      <c r="I1234" s="567" t="s">
        <v>464</v>
      </c>
      <c r="J1234" s="568" t="s">
        <v>288</v>
      </c>
      <c r="L1234" s="373">
        <v>1</v>
      </c>
    </row>
    <row r="1235" spans="1:12">
      <c r="A1235" s="565">
        <v>1230</v>
      </c>
      <c r="B1235" s="560" t="s">
        <v>278</v>
      </c>
      <c r="C1235" s="560" t="s">
        <v>526</v>
      </c>
      <c r="D1235" s="560" t="s">
        <v>292</v>
      </c>
      <c r="E1235" s="560">
        <v>148</v>
      </c>
      <c r="F1235" s="560">
        <v>5</v>
      </c>
      <c r="G1235" s="560" t="s">
        <v>286</v>
      </c>
      <c r="H1235" s="566">
        <v>4.1514726507713888</v>
      </c>
      <c r="I1235" s="567" t="s">
        <v>288</v>
      </c>
      <c r="J1235" s="568" t="s">
        <v>288</v>
      </c>
      <c r="L1235" s="373">
        <v>1</v>
      </c>
    </row>
    <row r="1236" spans="1:12">
      <c r="A1236" s="565">
        <v>1231</v>
      </c>
      <c r="B1236" s="560" t="s">
        <v>278</v>
      </c>
      <c r="C1236" s="560" t="s">
        <v>526</v>
      </c>
      <c r="D1236" s="560" t="s">
        <v>292</v>
      </c>
      <c r="E1236" s="560">
        <v>115</v>
      </c>
      <c r="F1236" s="560">
        <v>3</v>
      </c>
      <c r="G1236" s="560" t="s">
        <v>286</v>
      </c>
      <c r="H1236" s="566">
        <v>3.2258064516129035</v>
      </c>
      <c r="I1236" s="567" t="s">
        <v>288</v>
      </c>
      <c r="J1236" s="568" t="s">
        <v>288</v>
      </c>
      <c r="L1236" s="373">
        <v>1</v>
      </c>
    </row>
    <row r="1237" spans="1:12">
      <c r="A1237" s="565">
        <v>1232</v>
      </c>
      <c r="B1237" s="560" t="s">
        <v>278</v>
      </c>
      <c r="C1237" s="560" t="s">
        <v>526</v>
      </c>
      <c r="D1237" s="560" t="s">
        <v>292</v>
      </c>
      <c r="E1237" s="560">
        <v>116</v>
      </c>
      <c r="F1237" s="560">
        <v>2</v>
      </c>
      <c r="G1237" s="560" t="s">
        <v>286</v>
      </c>
      <c r="H1237" s="566">
        <v>3.2538569424964936</v>
      </c>
      <c r="I1237" s="567" t="s">
        <v>288</v>
      </c>
      <c r="J1237" s="568" t="s">
        <v>288</v>
      </c>
      <c r="L1237" s="373">
        <v>1</v>
      </c>
    </row>
    <row r="1238" spans="1:12" ht="21">
      <c r="A1238" s="565">
        <v>1233</v>
      </c>
      <c r="B1238" s="560" t="s">
        <v>278</v>
      </c>
      <c r="C1238" s="560" t="s">
        <v>526</v>
      </c>
      <c r="D1238" s="560" t="s">
        <v>291</v>
      </c>
      <c r="E1238" s="560">
        <v>127</v>
      </c>
      <c r="F1238" s="560">
        <v>4</v>
      </c>
      <c r="G1238" s="560" t="s">
        <v>286</v>
      </c>
      <c r="H1238" s="566">
        <v>3.562412342215989</v>
      </c>
      <c r="I1238" s="567" t="s">
        <v>489</v>
      </c>
      <c r="J1238" s="568" t="s">
        <v>288</v>
      </c>
      <c r="L1238" s="373">
        <v>1</v>
      </c>
    </row>
    <row r="1239" spans="1:12">
      <c r="A1239" s="565">
        <v>1234</v>
      </c>
      <c r="B1239" s="560" t="s">
        <v>278</v>
      </c>
      <c r="C1239" s="560" t="s">
        <v>526</v>
      </c>
      <c r="D1239" s="560" t="s">
        <v>292</v>
      </c>
      <c r="E1239" s="560">
        <v>132</v>
      </c>
      <c r="F1239" s="560">
        <v>3</v>
      </c>
      <c r="G1239" s="560" t="s">
        <v>286</v>
      </c>
      <c r="H1239" s="566">
        <v>3.7026647966339414</v>
      </c>
      <c r="I1239" s="567" t="s">
        <v>288</v>
      </c>
      <c r="J1239" s="568" t="s">
        <v>288</v>
      </c>
      <c r="L1239" s="373">
        <v>1</v>
      </c>
    </row>
    <row r="1240" spans="1:12">
      <c r="A1240" s="565">
        <v>1235</v>
      </c>
      <c r="B1240" s="560" t="s">
        <v>278</v>
      </c>
      <c r="C1240" s="560" t="s">
        <v>526</v>
      </c>
      <c r="D1240" s="560" t="s">
        <v>290</v>
      </c>
      <c r="E1240" s="560">
        <v>119</v>
      </c>
      <c r="F1240" s="560">
        <v>2</v>
      </c>
      <c r="G1240" s="560" t="s">
        <v>286</v>
      </c>
      <c r="H1240" s="566">
        <v>3.3380084151472653</v>
      </c>
      <c r="I1240" s="567" t="s">
        <v>288</v>
      </c>
      <c r="J1240" s="568" t="s">
        <v>288</v>
      </c>
      <c r="L1240" s="373">
        <v>1</v>
      </c>
    </row>
    <row r="1241" spans="1:12">
      <c r="A1241" s="565">
        <v>1236</v>
      </c>
      <c r="B1241" s="560" t="s">
        <v>278</v>
      </c>
      <c r="C1241" s="560" t="s">
        <v>526</v>
      </c>
      <c r="D1241" s="560" t="s">
        <v>291</v>
      </c>
      <c r="E1241" s="560">
        <v>148</v>
      </c>
      <c r="F1241" s="560">
        <v>3</v>
      </c>
      <c r="G1241" s="560" t="s">
        <v>286</v>
      </c>
      <c r="H1241" s="566">
        <v>4.1514726507713888</v>
      </c>
      <c r="I1241" s="567" t="s">
        <v>499</v>
      </c>
      <c r="J1241" s="568" t="s">
        <v>288</v>
      </c>
      <c r="L1241" s="373">
        <v>1</v>
      </c>
    </row>
    <row r="1242" spans="1:12">
      <c r="A1242" s="565">
        <v>1237</v>
      </c>
      <c r="B1242" s="560" t="s">
        <v>278</v>
      </c>
      <c r="C1242" s="560" t="s">
        <v>526</v>
      </c>
      <c r="D1242" s="560" t="s">
        <v>291</v>
      </c>
      <c r="E1242" s="560">
        <v>157</v>
      </c>
      <c r="F1242" s="560">
        <v>5</v>
      </c>
      <c r="G1242" s="560" t="s">
        <v>286</v>
      </c>
      <c r="H1242" s="566">
        <v>4.4039270687237027</v>
      </c>
      <c r="I1242" s="567" t="s">
        <v>288</v>
      </c>
      <c r="J1242" s="568" t="s">
        <v>288</v>
      </c>
      <c r="L1242" s="373">
        <v>1</v>
      </c>
    </row>
    <row r="1243" spans="1:12" ht="21">
      <c r="A1243" s="565">
        <v>1238</v>
      </c>
      <c r="B1243" s="560" t="s">
        <v>278</v>
      </c>
      <c r="C1243" s="560" t="s">
        <v>526</v>
      </c>
      <c r="D1243" s="560" t="s">
        <v>291</v>
      </c>
      <c r="E1243" s="560">
        <v>139</v>
      </c>
      <c r="F1243" s="560">
        <v>4</v>
      </c>
      <c r="G1243" s="560" t="s">
        <v>286</v>
      </c>
      <c r="H1243" s="566">
        <v>3.8990182328190746</v>
      </c>
      <c r="I1243" s="567" t="s">
        <v>489</v>
      </c>
      <c r="J1243" s="568" t="s">
        <v>288</v>
      </c>
      <c r="L1243" s="373">
        <v>1</v>
      </c>
    </row>
    <row r="1244" spans="1:12">
      <c r="A1244" s="565">
        <v>1239</v>
      </c>
      <c r="B1244" s="560" t="s">
        <v>278</v>
      </c>
      <c r="C1244" s="560" t="s">
        <v>526</v>
      </c>
      <c r="D1244" s="560" t="s">
        <v>291</v>
      </c>
      <c r="E1244" s="560">
        <v>140</v>
      </c>
      <c r="F1244" s="560">
        <v>3</v>
      </c>
      <c r="G1244" s="560" t="s">
        <v>286</v>
      </c>
      <c r="H1244" s="566">
        <v>3.9270687237026651</v>
      </c>
      <c r="I1244" s="567" t="s">
        <v>464</v>
      </c>
      <c r="J1244" s="568" t="s">
        <v>288</v>
      </c>
      <c r="L1244" s="373">
        <v>1</v>
      </c>
    </row>
    <row r="1245" spans="1:12" ht="21">
      <c r="A1245" s="565">
        <v>1240</v>
      </c>
      <c r="B1245" s="560" t="s">
        <v>278</v>
      </c>
      <c r="C1245" s="560" t="s">
        <v>526</v>
      </c>
      <c r="D1245" s="560" t="s">
        <v>291</v>
      </c>
      <c r="E1245" s="560">
        <v>147</v>
      </c>
      <c r="F1245" s="560">
        <v>3</v>
      </c>
      <c r="G1245" s="560" t="s">
        <v>286</v>
      </c>
      <c r="H1245" s="566">
        <v>4.1234221598877978</v>
      </c>
      <c r="I1245" s="567" t="s">
        <v>489</v>
      </c>
      <c r="J1245" s="568" t="s">
        <v>288</v>
      </c>
      <c r="L1245" s="373">
        <v>1</v>
      </c>
    </row>
    <row r="1246" spans="1:12" ht="21">
      <c r="A1246" s="565">
        <v>1241</v>
      </c>
      <c r="B1246" s="560" t="s">
        <v>278</v>
      </c>
      <c r="C1246" s="560" t="s">
        <v>526</v>
      </c>
      <c r="D1246" s="560" t="s">
        <v>291</v>
      </c>
      <c r="E1246" s="560">
        <v>137</v>
      </c>
      <c r="F1246" s="560">
        <v>3</v>
      </c>
      <c r="G1246" s="560" t="s">
        <v>286</v>
      </c>
      <c r="H1246" s="566">
        <v>3.8429172510518934</v>
      </c>
      <c r="I1246" s="567" t="s">
        <v>489</v>
      </c>
      <c r="J1246" s="568" t="s">
        <v>288</v>
      </c>
      <c r="L1246" s="373">
        <v>1</v>
      </c>
    </row>
    <row r="1247" spans="1:12">
      <c r="A1247" s="565">
        <v>1242</v>
      </c>
      <c r="B1247" s="560" t="s">
        <v>278</v>
      </c>
      <c r="C1247" s="560" t="s">
        <v>526</v>
      </c>
      <c r="D1247" s="560" t="s">
        <v>291</v>
      </c>
      <c r="E1247" s="560">
        <v>124</v>
      </c>
      <c r="F1247" s="560">
        <v>4</v>
      </c>
      <c r="G1247" s="560" t="s">
        <v>286</v>
      </c>
      <c r="H1247" s="566">
        <v>3.4782608695652177</v>
      </c>
      <c r="I1247" s="567" t="s">
        <v>499</v>
      </c>
      <c r="J1247" s="568" t="s">
        <v>288</v>
      </c>
      <c r="L1247" s="373">
        <v>1</v>
      </c>
    </row>
    <row r="1248" spans="1:12">
      <c r="A1248" s="565">
        <v>1243</v>
      </c>
      <c r="B1248" s="560" t="s">
        <v>278</v>
      </c>
      <c r="C1248" s="560" t="s">
        <v>526</v>
      </c>
      <c r="D1248" s="560" t="s">
        <v>292</v>
      </c>
      <c r="E1248" s="560">
        <v>154</v>
      </c>
      <c r="F1248" s="560">
        <v>5</v>
      </c>
      <c r="G1248" s="560" t="s">
        <v>286</v>
      </c>
      <c r="H1248" s="566">
        <v>4.3197755960729314</v>
      </c>
      <c r="I1248" s="567" t="s">
        <v>288</v>
      </c>
      <c r="J1248" s="568" t="s">
        <v>288</v>
      </c>
      <c r="L1248" s="373">
        <v>1</v>
      </c>
    </row>
    <row r="1249" spans="1:12" ht="21">
      <c r="A1249" s="565">
        <v>1244</v>
      </c>
      <c r="B1249" s="560" t="s">
        <v>278</v>
      </c>
      <c r="C1249" s="560" t="s">
        <v>526</v>
      </c>
      <c r="D1249" s="560" t="s">
        <v>293</v>
      </c>
      <c r="E1249" s="560">
        <v>156</v>
      </c>
      <c r="F1249" s="560">
        <v>3</v>
      </c>
      <c r="G1249" s="560" t="s">
        <v>286</v>
      </c>
      <c r="H1249" s="566">
        <v>4.3758765778401125</v>
      </c>
      <c r="I1249" s="567" t="s">
        <v>489</v>
      </c>
      <c r="J1249" s="568" t="s">
        <v>288</v>
      </c>
      <c r="L1249" s="373">
        <v>1</v>
      </c>
    </row>
    <row r="1250" spans="1:12">
      <c r="A1250" s="565">
        <v>1245</v>
      </c>
      <c r="B1250" s="560" t="s">
        <v>278</v>
      </c>
      <c r="C1250" s="560" t="s">
        <v>526</v>
      </c>
      <c r="D1250" s="560" t="s">
        <v>292</v>
      </c>
      <c r="E1250" s="560">
        <v>110</v>
      </c>
      <c r="F1250" s="560">
        <v>2</v>
      </c>
      <c r="G1250" s="560" t="s">
        <v>286</v>
      </c>
      <c r="H1250" s="566">
        <v>3.085553997194951</v>
      </c>
      <c r="I1250" s="567" t="s">
        <v>288</v>
      </c>
      <c r="J1250" s="568" t="s">
        <v>288</v>
      </c>
      <c r="L1250" s="373">
        <v>1</v>
      </c>
    </row>
    <row r="1251" spans="1:12">
      <c r="A1251" s="565">
        <v>1246</v>
      </c>
      <c r="B1251" s="560" t="s">
        <v>278</v>
      </c>
      <c r="C1251" s="560" t="s">
        <v>526</v>
      </c>
      <c r="D1251" s="560" t="s">
        <v>291</v>
      </c>
      <c r="E1251" s="560">
        <v>115</v>
      </c>
      <c r="F1251" s="560">
        <v>4</v>
      </c>
      <c r="G1251" s="560" t="s">
        <v>286</v>
      </c>
      <c r="H1251" s="566">
        <v>3.2258064516129035</v>
      </c>
      <c r="I1251" s="567" t="s">
        <v>499</v>
      </c>
      <c r="J1251" s="568" t="s">
        <v>500</v>
      </c>
      <c r="L1251" s="373">
        <v>1</v>
      </c>
    </row>
    <row r="1252" spans="1:12">
      <c r="A1252" s="565">
        <v>1247</v>
      </c>
      <c r="B1252" s="560" t="s">
        <v>278</v>
      </c>
      <c r="C1252" s="560" t="s">
        <v>526</v>
      </c>
      <c r="D1252" s="560" t="s">
        <v>292</v>
      </c>
      <c r="E1252" s="560">
        <v>126</v>
      </c>
      <c r="F1252" s="560">
        <v>4</v>
      </c>
      <c r="G1252" s="560" t="s">
        <v>286</v>
      </c>
      <c r="H1252" s="566">
        <v>3.5343618513323984</v>
      </c>
      <c r="I1252" s="567" t="s">
        <v>288</v>
      </c>
      <c r="J1252" s="568" t="s">
        <v>288</v>
      </c>
      <c r="L1252" s="373">
        <v>1</v>
      </c>
    </row>
    <row r="1253" spans="1:12" ht="21">
      <c r="A1253" s="565">
        <v>1248</v>
      </c>
      <c r="B1253" s="560" t="s">
        <v>277</v>
      </c>
      <c r="C1253" s="560" t="s">
        <v>526</v>
      </c>
      <c r="D1253" s="560" t="s">
        <v>291</v>
      </c>
      <c r="E1253" s="560">
        <v>263</v>
      </c>
      <c r="F1253" s="560">
        <v>12</v>
      </c>
      <c r="G1253" s="560" t="s">
        <v>286</v>
      </c>
      <c r="H1253" s="566">
        <v>7.3772791023842919</v>
      </c>
      <c r="I1253" s="567" t="s">
        <v>464</v>
      </c>
      <c r="J1253" s="568" t="s">
        <v>506</v>
      </c>
      <c r="L1253" s="373">
        <v>1</v>
      </c>
    </row>
    <row r="1254" spans="1:12" ht="21">
      <c r="A1254" s="565">
        <v>1249</v>
      </c>
      <c r="B1254" s="560" t="s">
        <v>278</v>
      </c>
      <c r="C1254" s="560" t="s">
        <v>526</v>
      </c>
      <c r="D1254" s="560" t="s">
        <v>291</v>
      </c>
      <c r="E1254" s="560">
        <v>123</v>
      </c>
      <c r="F1254" s="560">
        <v>2</v>
      </c>
      <c r="G1254" s="560" t="s">
        <v>286</v>
      </c>
      <c r="H1254" s="566">
        <v>3.4502103786816272</v>
      </c>
      <c r="I1254" s="567" t="s">
        <v>288</v>
      </c>
      <c r="J1254" s="568" t="s">
        <v>496</v>
      </c>
      <c r="L1254" s="373">
        <v>1</v>
      </c>
    </row>
    <row r="1255" spans="1:12">
      <c r="A1255" s="565">
        <v>1250</v>
      </c>
      <c r="B1255" s="560" t="s">
        <v>278</v>
      </c>
      <c r="C1255" s="560" t="s">
        <v>526</v>
      </c>
      <c r="D1255" s="560" t="s">
        <v>291</v>
      </c>
      <c r="E1255" s="560">
        <v>117</v>
      </c>
      <c r="F1255" s="560">
        <v>3</v>
      </c>
      <c r="G1255" s="560" t="s">
        <v>286</v>
      </c>
      <c r="H1255" s="566">
        <v>3.2819074333800842</v>
      </c>
      <c r="I1255" s="567" t="s">
        <v>499</v>
      </c>
      <c r="J1255" s="568" t="s">
        <v>288</v>
      </c>
      <c r="L1255" s="373">
        <v>1</v>
      </c>
    </row>
    <row r="1256" spans="1:12">
      <c r="A1256" s="565">
        <v>1251</v>
      </c>
      <c r="B1256" s="560" t="s">
        <v>278</v>
      </c>
      <c r="C1256" s="560" t="s">
        <v>516</v>
      </c>
      <c r="D1256" s="560">
        <v>1937</v>
      </c>
      <c r="E1256" s="560">
        <v>251</v>
      </c>
      <c r="F1256" s="560">
        <v>12</v>
      </c>
      <c r="G1256" s="560" t="s">
        <v>286</v>
      </c>
      <c r="H1256" s="566">
        <v>7.0406732117812068</v>
      </c>
      <c r="I1256" s="567" t="s">
        <v>464</v>
      </c>
      <c r="J1256" s="568" t="s">
        <v>288</v>
      </c>
      <c r="L1256" s="373">
        <v>1</v>
      </c>
    </row>
    <row r="1257" spans="1:12">
      <c r="A1257" s="565">
        <v>1252</v>
      </c>
      <c r="B1257" s="560" t="s">
        <v>278</v>
      </c>
      <c r="C1257" s="560" t="s">
        <v>516</v>
      </c>
      <c r="D1257" s="560" t="s">
        <v>291</v>
      </c>
      <c r="E1257" s="560">
        <v>158</v>
      </c>
      <c r="F1257" s="560">
        <v>6</v>
      </c>
      <c r="G1257" s="560" t="s">
        <v>286</v>
      </c>
      <c r="H1257" s="566">
        <v>4.4319775596072937</v>
      </c>
      <c r="I1257" s="567" t="s">
        <v>499</v>
      </c>
      <c r="J1257" s="568" t="s">
        <v>288</v>
      </c>
      <c r="L1257" s="373">
        <v>1</v>
      </c>
    </row>
    <row r="1258" spans="1:12">
      <c r="A1258" s="565">
        <v>1253</v>
      </c>
      <c r="B1258" s="560" t="s">
        <v>278</v>
      </c>
      <c r="C1258" s="560" t="s">
        <v>516</v>
      </c>
      <c r="D1258" s="560" t="s">
        <v>292</v>
      </c>
      <c r="E1258" s="560">
        <v>136</v>
      </c>
      <c r="F1258" s="560">
        <v>5</v>
      </c>
      <c r="G1258" s="560" t="s">
        <v>286</v>
      </c>
      <c r="H1258" s="566">
        <v>3.8148667601683033</v>
      </c>
      <c r="I1258" s="567" t="s">
        <v>288</v>
      </c>
      <c r="J1258" s="568" t="s">
        <v>288</v>
      </c>
      <c r="L1258" s="373">
        <v>1</v>
      </c>
    </row>
    <row r="1259" spans="1:12">
      <c r="A1259" s="565">
        <v>1254</v>
      </c>
      <c r="B1259" s="560" t="s">
        <v>278</v>
      </c>
      <c r="C1259" s="560" t="s">
        <v>516</v>
      </c>
      <c r="D1259" s="560" t="s">
        <v>292</v>
      </c>
      <c r="E1259" s="560">
        <v>136</v>
      </c>
      <c r="F1259" s="560">
        <v>3</v>
      </c>
      <c r="G1259" s="560" t="s">
        <v>286</v>
      </c>
      <c r="H1259" s="566">
        <v>3.8148667601683033</v>
      </c>
      <c r="I1259" s="567" t="s">
        <v>464</v>
      </c>
      <c r="J1259" s="568" t="s">
        <v>288</v>
      </c>
      <c r="L1259" s="373">
        <v>1</v>
      </c>
    </row>
    <row r="1260" spans="1:12">
      <c r="A1260" s="565">
        <v>1255</v>
      </c>
      <c r="B1260" s="560" t="s">
        <v>278</v>
      </c>
      <c r="C1260" s="560" t="s">
        <v>516</v>
      </c>
      <c r="D1260" s="560" t="s">
        <v>291</v>
      </c>
      <c r="E1260" s="560">
        <v>173</v>
      </c>
      <c r="F1260" s="560">
        <v>9</v>
      </c>
      <c r="G1260" s="560" t="s">
        <v>286</v>
      </c>
      <c r="H1260" s="566">
        <v>4.85273492286115</v>
      </c>
      <c r="I1260" s="567" t="s">
        <v>288</v>
      </c>
      <c r="J1260" s="568" t="s">
        <v>288</v>
      </c>
      <c r="L1260" s="373">
        <v>1</v>
      </c>
    </row>
    <row r="1261" spans="1:12" ht="21">
      <c r="A1261" s="565">
        <v>1256</v>
      </c>
      <c r="B1261" s="560" t="s">
        <v>278</v>
      </c>
      <c r="C1261" s="560" t="s">
        <v>516</v>
      </c>
      <c r="D1261" s="560" t="s">
        <v>293</v>
      </c>
      <c r="E1261" s="560">
        <v>152</v>
      </c>
      <c r="F1261" s="560">
        <v>5</v>
      </c>
      <c r="G1261" s="560" t="s">
        <v>286</v>
      </c>
      <c r="H1261" s="566">
        <v>4.2636746143057502</v>
      </c>
      <c r="I1261" s="567" t="s">
        <v>489</v>
      </c>
      <c r="J1261" s="568" t="s">
        <v>288</v>
      </c>
      <c r="L1261" s="373">
        <v>1</v>
      </c>
    </row>
    <row r="1262" spans="1:12">
      <c r="A1262" s="565">
        <v>1257</v>
      </c>
      <c r="B1262" s="560" t="s">
        <v>278</v>
      </c>
      <c r="C1262" s="560" t="s">
        <v>516</v>
      </c>
      <c r="D1262" s="560" t="s">
        <v>291</v>
      </c>
      <c r="E1262" s="560">
        <v>167</v>
      </c>
      <c r="F1262" s="560">
        <v>6</v>
      </c>
      <c r="G1262" s="560" t="s">
        <v>286</v>
      </c>
      <c r="H1262" s="566">
        <v>4.6844319775596075</v>
      </c>
      <c r="I1262" s="567" t="s">
        <v>499</v>
      </c>
      <c r="J1262" s="568" t="s">
        <v>500</v>
      </c>
      <c r="L1262" s="373">
        <v>1</v>
      </c>
    </row>
    <row r="1263" spans="1:12" ht="21">
      <c r="A1263" s="565">
        <v>1258</v>
      </c>
      <c r="B1263" s="560" t="s">
        <v>278</v>
      </c>
      <c r="C1263" s="560" t="s">
        <v>527</v>
      </c>
      <c r="D1263" s="560" t="s">
        <v>291</v>
      </c>
      <c r="E1263" s="560">
        <v>139</v>
      </c>
      <c r="F1263" s="560">
        <v>4</v>
      </c>
      <c r="G1263" s="560" t="s">
        <v>286</v>
      </c>
      <c r="H1263" s="566">
        <v>3.8990182328190746</v>
      </c>
      <c r="I1263" s="567" t="s">
        <v>489</v>
      </c>
      <c r="J1263" s="568" t="s">
        <v>288</v>
      </c>
      <c r="L1263" s="373">
        <v>1</v>
      </c>
    </row>
    <row r="1264" spans="1:12">
      <c r="A1264" s="565">
        <v>1259</v>
      </c>
      <c r="B1264" s="560" t="s">
        <v>278</v>
      </c>
      <c r="C1264" s="560" t="s">
        <v>527</v>
      </c>
      <c r="D1264" s="560" t="s">
        <v>292</v>
      </c>
      <c r="E1264" s="560">
        <v>112</v>
      </c>
      <c r="F1264" s="560">
        <v>2</v>
      </c>
      <c r="G1264" s="560" t="s">
        <v>286</v>
      </c>
      <c r="H1264" s="566">
        <v>3.1416549789621318</v>
      </c>
      <c r="I1264" s="567" t="s">
        <v>499</v>
      </c>
      <c r="J1264" s="568" t="s">
        <v>288</v>
      </c>
      <c r="L1264" s="373">
        <v>1</v>
      </c>
    </row>
    <row r="1265" spans="1:12">
      <c r="A1265" s="565">
        <v>1260</v>
      </c>
      <c r="B1265" s="560" t="s">
        <v>278</v>
      </c>
      <c r="C1265" s="560" t="s">
        <v>527</v>
      </c>
      <c r="D1265" s="560" t="s">
        <v>292</v>
      </c>
      <c r="E1265" s="560">
        <v>147</v>
      </c>
      <c r="F1265" s="560">
        <v>4</v>
      </c>
      <c r="G1265" s="560" t="s">
        <v>286</v>
      </c>
      <c r="H1265" s="566">
        <v>4.1234221598877978</v>
      </c>
      <c r="I1265" s="567" t="s">
        <v>288</v>
      </c>
      <c r="J1265" s="568" t="s">
        <v>288</v>
      </c>
      <c r="L1265" s="373">
        <v>1</v>
      </c>
    </row>
    <row r="1266" spans="1:12">
      <c r="A1266" s="565">
        <v>1261</v>
      </c>
      <c r="B1266" s="560" t="s">
        <v>278</v>
      </c>
      <c r="C1266" s="560" t="s">
        <v>527</v>
      </c>
      <c r="D1266" s="560" t="s">
        <v>292</v>
      </c>
      <c r="E1266" s="560">
        <v>92</v>
      </c>
      <c r="F1266" s="560">
        <v>2</v>
      </c>
      <c r="G1266" s="560" t="s">
        <v>286</v>
      </c>
      <c r="H1266" s="566">
        <v>2.5806451612903225</v>
      </c>
      <c r="I1266" s="567" t="s">
        <v>288</v>
      </c>
      <c r="J1266" s="568" t="s">
        <v>288</v>
      </c>
      <c r="L1266" s="373">
        <v>1</v>
      </c>
    </row>
    <row r="1267" spans="1:12">
      <c r="A1267" s="565">
        <v>1262</v>
      </c>
      <c r="B1267" s="560" t="s">
        <v>278</v>
      </c>
      <c r="C1267" s="560" t="s">
        <v>527</v>
      </c>
      <c r="D1267" s="560" t="s">
        <v>292</v>
      </c>
      <c r="E1267" s="560">
        <v>154</v>
      </c>
      <c r="F1267" s="560">
        <v>5</v>
      </c>
      <c r="G1267" s="560" t="s">
        <v>286</v>
      </c>
      <c r="H1267" s="566">
        <v>4.3197755960729314</v>
      </c>
      <c r="I1267" s="567" t="s">
        <v>288</v>
      </c>
      <c r="J1267" s="568" t="s">
        <v>288</v>
      </c>
      <c r="L1267" s="373">
        <v>1</v>
      </c>
    </row>
    <row r="1268" spans="1:12" ht="21">
      <c r="A1268" s="565">
        <v>1263</v>
      </c>
      <c r="B1268" s="560" t="s">
        <v>278</v>
      </c>
      <c r="C1268" s="560" t="s">
        <v>527</v>
      </c>
      <c r="D1268" s="560" t="s">
        <v>293</v>
      </c>
      <c r="E1268" s="560">
        <v>136</v>
      </c>
      <c r="F1268" s="560">
        <v>3</v>
      </c>
      <c r="G1268" s="560" t="s">
        <v>286</v>
      </c>
      <c r="H1268" s="566">
        <v>3.8148667601683033</v>
      </c>
      <c r="I1268" s="567" t="s">
        <v>489</v>
      </c>
      <c r="J1268" s="568" t="s">
        <v>288</v>
      </c>
      <c r="L1268" s="373">
        <v>1</v>
      </c>
    </row>
    <row r="1269" spans="1:12" ht="21">
      <c r="A1269" s="565">
        <v>1264</v>
      </c>
      <c r="B1269" s="560" t="s">
        <v>278</v>
      </c>
      <c r="C1269" s="560" t="s">
        <v>527</v>
      </c>
      <c r="D1269" s="560" t="s">
        <v>291</v>
      </c>
      <c r="E1269" s="560">
        <v>164</v>
      </c>
      <c r="F1269" s="560">
        <v>5</v>
      </c>
      <c r="G1269" s="560" t="s">
        <v>286</v>
      </c>
      <c r="H1269" s="566">
        <v>4.6002805049088362</v>
      </c>
      <c r="I1269" s="567" t="s">
        <v>489</v>
      </c>
      <c r="J1269" s="568" t="s">
        <v>288</v>
      </c>
      <c r="L1269" s="373">
        <v>1</v>
      </c>
    </row>
    <row r="1270" spans="1:12">
      <c r="A1270" s="565">
        <v>1265</v>
      </c>
      <c r="B1270" s="560" t="s">
        <v>278</v>
      </c>
      <c r="C1270" s="560" t="s">
        <v>527</v>
      </c>
      <c r="D1270" s="560" t="s">
        <v>292</v>
      </c>
      <c r="E1270" s="560">
        <v>131</v>
      </c>
      <c r="F1270" s="560">
        <v>4</v>
      </c>
      <c r="G1270" s="560" t="s">
        <v>286</v>
      </c>
      <c r="H1270" s="566">
        <v>3.6746143057503509</v>
      </c>
      <c r="I1270" s="567" t="s">
        <v>288</v>
      </c>
      <c r="J1270" s="568" t="s">
        <v>288</v>
      </c>
      <c r="L1270" s="373">
        <v>1</v>
      </c>
    </row>
    <row r="1271" spans="1:12" ht="21">
      <c r="A1271" s="565">
        <v>1266</v>
      </c>
      <c r="B1271" s="560" t="s">
        <v>278</v>
      </c>
      <c r="C1271" s="560" t="s">
        <v>527</v>
      </c>
      <c r="D1271" s="560" t="s">
        <v>293</v>
      </c>
      <c r="E1271" s="560">
        <v>152</v>
      </c>
      <c r="F1271" s="560">
        <v>5</v>
      </c>
      <c r="G1271" s="560" t="s">
        <v>286</v>
      </c>
      <c r="H1271" s="566">
        <v>4.2636746143057502</v>
      </c>
      <c r="I1271" s="567" t="s">
        <v>489</v>
      </c>
      <c r="J1271" s="568" t="s">
        <v>474</v>
      </c>
      <c r="L1271" s="373">
        <v>1</v>
      </c>
    </row>
    <row r="1272" spans="1:12">
      <c r="A1272" s="565">
        <v>1267</v>
      </c>
      <c r="B1272" s="560" t="s">
        <v>278</v>
      </c>
      <c r="C1272" s="560" t="s">
        <v>527</v>
      </c>
      <c r="D1272" s="560" t="s">
        <v>292</v>
      </c>
      <c r="E1272" s="560">
        <v>128</v>
      </c>
      <c r="F1272" s="560">
        <v>4</v>
      </c>
      <c r="G1272" s="560" t="s">
        <v>286</v>
      </c>
      <c r="H1272" s="566">
        <v>3.5904628330995796</v>
      </c>
      <c r="I1272" s="567" t="s">
        <v>464</v>
      </c>
      <c r="J1272" s="568" t="s">
        <v>288</v>
      </c>
      <c r="L1272" s="373">
        <v>1</v>
      </c>
    </row>
    <row r="1273" spans="1:12" ht="21">
      <c r="A1273" s="565">
        <v>1268</v>
      </c>
      <c r="B1273" s="560" t="s">
        <v>278</v>
      </c>
      <c r="C1273" s="560" t="s">
        <v>527</v>
      </c>
      <c r="D1273" s="560" t="s">
        <v>291</v>
      </c>
      <c r="E1273" s="560">
        <v>147</v>
      </c>
      <c r="F1273" s="560">
        <v>3</v>
      </c>
      <c r="G1273" s="560" t="s">
        <v>286</v>
      </c>
      <c r="H1273" s="566">
        <v>4.1234221598877978</v>
      </c>
      <c r="I1273" s="567" t="s">
        <v>489</v>
      </c>
      <c r="J1273" s="568" t="s">
        <v>288</v>
      </c>
      <c r="L1273" s="373">
        <v>1</v>
      </c>
    </row>
    <row r="1274" spans="1:12" ht="21">
      <c r="A1274" s="565">
        <v>1269</v>
      </c>
      <c r="B1274" s="560" t="s">
        <v>278</v>
      </c>
      <c r="C1274" s="560" t="s">
        <v>527</v>
      </c>
      <c r="D1274" s="560" t="s">
        <v>291</v>
      </c>
      <c r="E1274" s="560">
        <v>152</v>
      </c>
      <c r="F1274" s="560">
        <v>4</v>
      </c>
      <c r="G1274" s="560" t="s">
        <v>286</v>
      </c>
      <c r="H1274" s="566">
        <v>4.2636746143057502</v>
      </c>
      <c r="I1274" s="567" t="s">
        <v>489</v>
      </c>
      <c r="J1274" s="568" t="s">
        <v>288</v>
      </c>
      <c r="L1274" s="373">
        <v>1</v>
      </c>
    </row>
    <row r="1275" spans="1:12">
      <c r="A1275" s="565">
        <v>1270</v>
      </c>
      <c r="B1275" s="560" t="s">
        <v>278</v>
      </c>
      <c r="C1275" s="560" t="s">
        <v>527</v>
      </c>
      <c r="D1275" s="560" t="s">
        <v>291</v>
      </c>
      <c r="E1275" s="560">
        <v>196</v>
      </c>
      <c r="F1275" s="560">
        <v>8</v>
      </c>
      <c r="G1275" s="560" t="s">
        <v>286</v>
      </c>
      <c r="H1275" s="566">
        <v>5.497896213183731</v>
      </c>
      <c r="I1275" s="567" t="s">
        <v>499</v>
      </c>
      <c r="J1275" s="568" t="s">
        <v>500</v>
      </c>
      <c r="L1275" s="373">
        <v>1</v>
      </c>
    </row>
    <row r="1276" spans="1:12">
      <c r="A1276" s="565">
        <v>1271</v>
      </c>
      <c r="B1276" s="560" t="s">
        <v>278</v>
      </c>
      <c r="C1276" s="560" t="s">
        <v>527</v>
      </c>
      <c r="D1276" s="560" t="s">
        <v>291</v>
      </c>
      <c r="E1276" s="560">
        <v>137</v>
      </c>
      <c r="F1276" s="560">
        <v>3</v>
      </c>
      <c r="G1276" s="560" t="s">
        <v>286</v>
      </c>
      <c r="H1276" s="566">
        <v>3.8429172510518934</v>
      </c>
      <c r="I1276" s="567" t="s">
        <v>499</v>
      </c>
      <c r="J1276" s="568" t="s">
        <v>288</v>
      </c>
      <c r="L1276" s="373">
        <v>1</v>
      </c>
    </row>
    <row r="1277" spans="1:12">
      <c r="A1277" s="565">
        <v>1272</v>
      </c>
      <c r="B1277" s="560" t="s">
        <v>278</v>
      </c>
      <c r="C1277" s="560" t="s">
        <v>527</v>
      </c>
      <c r="D1277" s="560" t="s">
        <v>291</v>
      </c>
      <c r="E1277" s="560">
        <v>158</v>
      </c>
      <c r="F1277" s="560">
        <v>6</v>
      </c>
      <c r="G1277" s="560" t="s">
        <v>286</v>
      </c>
      <c r="H1277" s="566">
        <v>4.4319775596072937</v>
      </c>
      <c r="I1277" s="567" t="s">
        <v>288</v>
      </c>
      <c r="J1277" s="568" t="s">
        <v>288</v>
      </c>
      <c r="L1277" s="373">
        <v>1</v>
      </c>
    </row>
    <row r="1278" spans="1:12">
      <c r="A1278" s="565">
        <v>1273</v>
      </c>
      <c r="B1278" s="560" t="s">
        <v>278</v>
      </c>
      <c r="C1278" s="560" t="s">
        <v>527</v>
      </c>
      <c r="D1278" s="560" t="s">
        <v>291</v>
      </c>
      <c r="E1278" s="560">
        <v>129</v>
      </c>
      <c r="F1278" s="560">
        <v>3</v>
      </c>
      <c r="G1278" s="560" t="s">
        <v>286</v>
      </c>
      <c r="H1278" s="566">
        <v>3.6185133239831697</v>
      </c>
      <c r="I1278" s="567" t="s">
        <v>464</v>
      </c>
      <c r="J1278" s="568" t="s">
        <v>288</v>
      </c>
      <c r="L1278" s="373">
        <v>1</v>
      </c>
    </row>
    <row r="1279" spans="1:12">
      <c r="A1279" s="565">
        <v>1274</v>
      </c>
      <c r="B1279" s="560" t="s">
        <v>278</v>
      </c>
      <c r="C1279" s="560" t="s">
        <v>527</v>
      </c>
      <c r="D1279" s="560" t="s">
        <v>292</v>
      </c>
      <c r="E1279" s="560">
        <v>122</v>
      </c>
      <c r="F1279" s="560">
        <v>3</v>
      </c>
      <c r="G1279" s="560" t="s">
        <v>286</v>
      </c>
      <c r="H1279" s="566">
        <v>3.4221598877980366</v>
      </c>
      <c r="I1279" s="567" t="s">
        <v>288</v>
      </c>
      <c r="J1279" s="568" t="s">
        <v>288</v>
      </c>
      <c r="L1279" s="373">
        <v>1</v>
      </c>
    </row>
    <row r="1280" spans="1:12">
      <c r="A1280" s="565">
        <v>1275</v>
      </c>
      <c r="B1280" s="560" t="s">
        <v>278</v>
      </c>
      <c r="C1280" s="560" t="s">
        <v>527</v>
      </c>
      <c r="D1280" s="560" t="s">
        <v>292</v>
      </c>
      <c r="E1280" s="560">
        <v>143</v>
      </c>
      <c r="F1280" s="560">
        <v>5</v>
      </c>
      <c r="G1280" s="560" t="s">
        <v>286</v>
      </c>
      <c r="H1280" s="566">
        <v>4.0112201963534364</v>
      </c>
      <c r="I1280" s="567" t="s">
        <v>288</v>
      </c>
      <c r="J1280" s="568" t="s">
        <v>288</v>
      </c>
      <c r="L1280" s="373">
        <v>1</v>
      </c>
    </row>
    <row r="1281" spans="1:12">
      <c r="A1281" s="565">
        <v>1276</v>
      </c>
      <c r="B1281" s="560" t="s">
        <v>278</v>
      </c>
      <c r="C1281" s="560" t="s">
        <v>527</v>
      </c>
      <c r="D1281" s="560" t="s">
        <v>291</v>
      </c>
      <c r="E1281" s="560">
        <v>183</v>
      </c>
      <c r="F1281" s="560">
        <v>7</v>
      </c>
      <c r="G1281" s="560" t="s">
        <v>286</v>
      </c>
      <c r="H1281" s="566">
        <v>5.1332398316970549</v>
      </c>
      <c r="I1281" s="567" t="s">
        <v>464</v>
      </c>
      <c r="J1281" s="568" t="s">
        <v>288</v>
      </c>
      <c r="L1281" s="373">
        <v>1</v>
      </c>
    </row>
    <row r="1282" spans="1:12" ht="21">
      <c r="A1282" s="565">
        <v>1277</v>
      </c>
      <c r="B1282" s="560" t="s">
        <v>278</v>
      </c>
      <c r="C1282" s="560" t="s">
        <v>527</v>
      </c>
      <c r="D1282" s="560" t="s">
        <v>291</v>
      </c>
      <c r="E1282" s="560">
        <v>127</v>
      </c>
      <c r="F1282" s="560">
        <v>4</v>
      </c>
      <c r="G1282" s="560" t="s">
        <v>286</v>
      </c>
      <c r="H1282" s="566">
        <v>3.562412342215989</v>
      </c>
      <c r="I1282" s="567" t="s">
        <v>464</v>
      </c>
      <c r="J1282" s="568" t="s">
        <v>506</v>
      </c>
      <c r="L1282" s="373">
        <v>1</v>
      </c>
    </row>
    <row r="1283" spans="1:12">
      <c r="A1283" s="565">
        <v>1278</v>
      </c>
      <c r="B1283" s="560" t="s">
        <v>278</v>
      </c>
      <c r="C1283" s="560" t="s">
        <v>527</v>
      </c>
      <c r="D1283" s="560" t="s">
        <v>291</v>
      </c>
      <c r="E1283" s="560">
        <v>152</v>
      </c>
      <c r="F1283" s="560">
        <v>5</v>
      </c>
      <c r="G1283" s="560" t="s">
        <v>286</v>
      </c>
      <c r="H1283" s="566">
        <v>4.2636746143057502</v>
      </c>
      <c r="I1283" s="567" t="s">
        <v>288</v>
      </c>
      <c r="J1283" s="568" t="s">
        <v>288</v>
      </c>
      <c r="L1283" s="373">
        <v>1</v>
      </c>
    </row>
    <row r="1284" spans="1:12">
      <c r="A1284" s="565">
        <v>1279</v>
      </c>
      <c r="B1284" s="560" t="s">
        <v>278</v>
      </c>
      <c r="C1284" s="560" t="s">
        <v>527</v>
      </c>
      <c r="D1284" s="560" t="s">
        <v>292</v>
      </c>
      <c r="E1284" s="560">
        <v>98</v>
      </c>
      <c r="F1284" s="560">
        <v>3</v>
      </c>
      <c r="G1284" s="560" t="s">
        <v>286</v>
      </c>
      <c r="H1284" s="566">
        <v>2.7489481065918655</v>
      </c>
      <c r="I1284" s="567" t="s">
        <v>288</v>
      </c>
      <c r="J1284" s="568" t="s">
        <v>288</v>
      </c>
      <c r="L1284" s="373">
        <v>1</v>
      </c>
    </row>
    <row r="1285" spans="1:12">
      <c r="A1285" s="565">
        <v>1280</v>
      </c>
      <c r="B1285" s="560" t="s">
        <v>278</v>
      </c>
      <c r="C1285" s="560" t="s">
        <v>527</v>
      </c>
      <c r="D1285" s="560" t="s">
        <v>292</v>
      </c>
      <c r="E1285" s="560">
        <v>112</v>
      </c>
      <c r="F1285" s="560">
        <v>2</v>
      </c>
      <c r="G1285" s="560" t="s">
        <v>286</v>
      </c>
      <c r="H1285" s="566">
        <v>3.1416549789621318</v>
      </c>
      <c r="I1285" s="567" t="s">
        <v>288</v>
      </c>
      <c r="J1285" s="568" t="s">
        <v>288</v>
      </c>
      <c r="L1285" s="373">
        <v>1</v>
      </c>
    </row>
    <row r="1286" spans="1:12">
      <c r="A1286" s="565">
        <v>1281</v>
      </c>
      <c r="B1286" s="560" t="s">
        <v>278</v>
      </c>
      <c r="C1286" s="560" t="s">
        <v>527</v>
      </c>
      <c r="D1286" s="560" t="s">
        <v>290</v>
      </c>
      <c r="E1286" s="560">
        <v>132</v>
      </c>
      <c r="F1286" s="560">
        <v>3</v>
      </c>
      <c r="G1286" s="560" t="s">
        <v>286</v>
      </c>
      <c r="H1286" s="566">
        <v>3.7026647966339414</v>
      </c>
      <c r="I1286" s="567" t="s">
        <v>288</v>
      </c>
      <c r="J1286" s="568" t="s">
        <v>288</v>
      </c>
      <c r="L1286" s="373">
        <v>1</v>
      </c>
    </row>
    <row r="1287" spans="1:12" ht="21">
      <c r="A1287" s="565">
        <v>1282</v>
      </c>
      <c r="B1287" s="560" t="s">
        <v>278</v>
      </c>
      <c r="C1287" s="560" t="s">
        <v>527</v>
      </c>
      <c r="D1287" s="560" t="s">
        <v>291</v>
      </c>
      <c r="E1287" s="560">
        <v>119</v>
      </c>
      <c r="F1287" s="560">
        <v>3</v>
      </c>
      <c r="G1287" s="560" t="s">
        <v>286</v>
      </c>
      <c r="H1287" s="566">
        <v>3.3380084151472653</v>
      </c>
      <c r="I1287" s="567" t="s">
        <v>489</v>
      </c>
      <c r="J1287" s="568" t="s">
        <v>288</v>
      </c>
      <c r="L1287" s="373">
        <v>1</v>
      </c>
    </row>
    <row r="1288" spans="1:12">
      <c r="A1288" s="565">
        <v>1283</v>
      </c>
      <c r="B1288" s="560" t="s">
        <v>278</v>
      </c>
      <c r="C1288" s="560" t="s">
        <v>527</v>
      </c>
      <c r="D1288" s="560" t="s">
        <v>292</v>
      </c>
      <c r="E1288" s="560">
        <v>118</v>
      </c>
      <c r="F1288" s="560">
        <v>2</v>
      </c>
      <c r="G1288" s="560" t="s">
        <v>286</v>
      </c>
      <c r="H1288" s="566">
        <v>3.3099579242636747</v>
      </c>
      <c r="I1288" s="567" t="s">
        <v>288</v>
      </c>
      <c r="J1288" s="568" t="s">
        <v>288</v>
      </c>
      <c r="L1288" s="373">
        <v>1</v>
      </c>
    </row>
    <row r="1289" spans="1:12" ht="21">
      <c r="A1289" s="565">
        <v>1284</v>
      </c>
      <c r="B1289" s="560" t="s">
        <v>278</v>
      </c>
      <c r="C1289" s="560" t="s">
        <v>527</v>
      </c>
      <c r="D1289" s="560" t="s">
        <v>291</v>
      </c>
      <c r="E1289" s="560">
        <v>126</v>
      </c>
      <c r="F1289" s="560">
        <v>4</v>
      </c>
      <c r="G1289" s="560" t="s">
        <v>286</v>
      </c>
      <c r="H1289" s="566">
        <v>3.5343618513323984</v>
      </c>
      <c r="I1289" s="567" t="s">
        <v>489</v>
      </c>
      <c r="J1289" s="568" t="s">
        <v>288</v>
      </c>
      <c r="L1289" s="373">
        <v>1</v>
      </c>
    </row>
    <row r="1290" spans="1:12" ht="21">
      <c r="A1290" s="565">
        <v>1285</v>
      </c>
      <c r="B1290" s="560" t="s">
        <v>278</v>
      </c>
      <c r="C1290" s="560" t="s">
        <v>527</v>
      </c>
      <c r="D1290" s="560" t="s">
        <v>294</v>
      </c>
      <c r="E1290" s="560">
        <v>129</v>
      </c>
      <c r="F1290" s="560">
        <v>3</v>
      </c>
      <c r="G1290" s="560" t="s">
        <v>286</v>
      </c>
      <c r="H1290" s="566">
        <v>3.6185133239831697</v>
      </c>
      <c r="I1290" s="567" t="s">
        <v>489</v>
      </c>
      <c r="J1290" s="568" t="s">
        <v>474</v>
      </c>
      <c r="L1290" s="373">
        <v>1</v>
      </c>
    </row>
    <row r="1291" spans="1:12" ht="21">
      <c r="A1291" s="565">
        <v>1286</v>
      </c>
      <c r="B1291" s="560" t="s">
        <v>278</v>
      </c>
      <c r="C1291" s="560" t="s">
        <v>527</v>
      </c>
      <c r="D1291" s="560" t="s">
        <v>291</v>
      </c>
      <c r="E1291" s="560">
        <v>128</v>
      </c>
      <c r="F1291" s="560">
        <v>3</v>
      </c>
      <c r="G1291" s="560" t="s">
        <v>286</v>
      </c>
      <c r="H1291" s="566">
        <v>3.5904628330995796</v>
      </c>
      <c r="I1291" s="567" t="s">
        <v>489</v>
      </c>
      <c r="J1291" s="568" t="s">
        <v>288</v>
      </c>
      <c r="L1291" s="373">
        <v>1</v>
      </c>
    </row>
    <row r="1292" spans="1:12">
      <c r="A1292" s="565">
        <v>1287</v>
      </c>
      <c r="B1292" s="560" t="s">
        <v>278</v>
      </c>
      <c r="C1292" s="560" t="s">
        <v>527</v>
      </c>
      <c r="D1292" s="560" t="s">
        <v>292</v>
      </c>
      <c r="E1292" s="560">
        <v>139</v>
      </c>
      <c r="F1292" s="560">
        <v>4</v>
      </c>
      <c r="G1292" s="560" t="s">
        <v>286</v>
      </c>
      <c r="H1292" s="566">
        <v>3.8990182328190746</v>
      </c>
      <c r="I1292" s="567" t="s">
        <v>288</v>
      </c>
      <c r="J1292" s="568" t="s">
        <v>288</v>
      </c>
      <c r="L1292" s="373">
        <v>1</v>
      </c>
    </row>
    <row r="1293" spans="1:12" ht="21">
      <c r="A1293" s="565">
        <v>1288</v>
      </c>
      <c r="B1293" s="560" t="s">
        <v>278</v>
      </c>
      <c r="C1293" s="560" t="s">
        <v>527</v>
      </c>
      <c r="D1293" s="560" t="s">
        <v>291</v>
      </c>
      <c r="E1293" s="560">
        <v>129</v>
      </c>
      <c r="F1293" s="560">
        <v>5</v>
      </c>
      <c r="G1293" s="560" t="s">
        <v>286</v>
      </c>
      <c r="H1293" s="566">
        <v>3.6185133239831697</v>
      </c>
      <c r="I1293" s="567" t="s">
        <v>489</v>
      </c>
      <c r="J1293" s="568" t="s">
        <v>288</v>
      </c>
      <c r="L1293" s="373">
        <v>1</v>
      </c>
    </row>
    <row r="1294" spans="1:12" ht="21">
      <c r="A1294" s="565">
        <v>1289</v>
      </c>
      <c r="B1294" s="560" t="s">
        <v>278</v>
      </c>
      <c r="C1294" s="560" t="s">
        <v>527</v>
      </c>
      <c r="D1294" s="560" t="s">
        <v>291</v>
      </c>
      <c r="E1294" s="560">
        <v>137</v>
      </c>
      <c r="F1294" s="560">
        <v>3</v>
      </c>
      <c r="G1294" s="560" t="s">
        <v>286</v>
      </c>
      <c r="H1294" s="566">
        <v>3.8429172510518934</v>
      </c>
      <c r="I1294" s="567" t="s">
        <v>489</v>
      </c>
      <c r="J1294" s="568" t="s">
        <v>288</v>
      </c>
      <c r="L1294" s="373">
        <v>1</v>
      </c>
    </row>
    <row r="1295" spans="1:12">
      <c r="A1295" s="565">
        <v>1290</v>
      </c>
      <c r="B1295" s="560" t="s">
        <v>278</v>
      </c>
      <c r="C1295" s="560" t="s">
        <v>527</v>
      </c>
      <c r="D1295" s="560" t="s">
        <v>292</v>
      </c>
      <c r="E1295" s="560">
        <v>158</v>
      </c>
      <c r="F1295" s="560">
        <v>6</v>
      </c>
      <c r="G1295" s="560" t="s">
        <v>286</v>
      </c>
      <c r="H1295" s="566">
        <v>4.4319775596072937</v>
      </c>
      <c r="I1295" s="567" t="s">
        <v>464</v>
      </c>
      <c r="J1295" s="568" t="s">
        <v>288</v>
      </c>
      <c r="L1295" s="373">
        <v>1</v>
      </c>
    </row>
    <row r="1296" spans="1:12">
      <c r="A1296" s="565">
        <v>1291</v>
      </c>
      <c r="B1296" s="560" t="s">
        <v>278</v>
      </c>
      <c r="C1296" s="560" t="s">
        <v>527</v>
      </c>
      <c r="D1296" s="560" t="s">
        <v>291</v>
      </c>
      <c r="E1296" s="560">
        <v>146</v>
      </c>
      <c r="F1296" s="560">
        <v>5</v>
      </c>
      <c r="G1296" s="560" t="s">
        <v>286</v>
      </c>
      <c r="H1296" s="566">
        <v>4.0953716690042077</v>
      </c>
      <c r="I1296" s="567" t="s">
        <v>288</v>
      </c>
      <c r="J1296" s="568" t="s">
        <v>288</v>
      </c>
      <c r="L1296" s="373">
        <v>1</v>
      </c>
    </row>
    <row r="1297" spans="1:12">
      <c r="A1297" s="565">
        <v>1292</v>
      </c>
      <c r="B1297" s="560" t="s">
        <v>278</v>
      </c>
      <c r="C1297" s="560" t="s">
        <v>527</v>
      </c>
      <c r="D1297" s="560" t="s">
        <v>291</v>
      </c>
      <c r="E1297" s="560">
        <v>124</v>
      </c>
      <c r="F1297" s="560">
        <v>4</v>
      </c>
      <c r="G1297" s="560" t="s">
        <v>286</v>
      </c>
      <c r="H1297" s="566">
        <v>3.4782608695652177</v>
      </c>
      <c r="I1297" s="567" t="s">
        <v>288</v>
      </c>
      <c r="J1297" s="568" t="s">
        <v>288</v>
      </c>
      <c r="L1297" s="373">
        <v>1</v>
      </c>
    </row>
    <row r="1298" spans="1:12">
      <c r="A1298" s="565">
        <v>1293</v>
      </c>
      <c r="B1298" s="560" t="s">
        <v>278</v>
      </c>
      <c r="C1298" s="560" t="s">
        <v>527</v>
      </c>
      <c r="D1298" s="560" t="s">
        <v>292</v>
      </c>
      <c r="E1298" s="560">
        <v>148</v>
      </c>
      <c r="F1298" s="560">
        <v>6</v>
      </c>
      <c r="G1298" s="560" t="s">
        <v>286</v>
      </c>
      <c r="H1298" s="566">
        <v>4.1514726507713888</v>
      </c>
      <c r="I1298" s="567" t="s">
        <v>288</v>
      </c>
      <c r="J1298" s="568" t="s">
        <v>288</v>
      </c>
      <c r="L1298" s="373">
        <v>1</v>
      </c>
    </row>
    <row r="1299" spans="1:12" ht="21">
      <c r="A1299" s="565">
        <v>1294</v>
      </c>
      <c r="B1299" s="560" t="s">
        <v>278</v>
      </c>
      <c r="C1299" s="560" t="s">
        <v>527</v>
      </c>
      <c r="D1299" s="560" t="s">
        <v>291</v>
      </c>
      <c r="E1299" s="560">
        <v>137</v>
      </c>
      <c r="F1299" s="560">
        <v>3</v>
      </c>
      <c r="G1299" s="560" t="s">
        <v>286</v>
      </c>
      <c r="H1299" s="566">
        <v>3.8429172510518934</v>
      </c>
      <c r="I1299" s="567" t="s">
        <v>489</v>
      </c>
      <c r="J1299" s="568" t="s">
        <v>288</v>
      </c>
      <c r="L1299" s="373">
        <v>1</v>
      </c>
    </row>
    <row r="1300" spans="1:12">
      <c r="A1300" s="565">
        <v>1295</v>
      </c>
      <c r="B1300" s="560" t="s">
        <v>278</v>
      </c>
      <c r="C1300" s="560" t="s">
        <v>527</v>
      </c>
      <c r="D1300" s="560" t="s">
        <v>292</v>
      </c>
      <c r="E1300" s="560">
        <v>127</v>
      </c>
      <c r="F1300" s="560">
        <v>4</v>
      </c>
      <c r="G1300" s="560" t="s">
        <v>286</v>
      </c>
      <c r="H1300" s="566">
        <v>3.562412342215989</v>
      </c>
      <c r="I1300" s="567" t="s">
        <v>288</v>
      </c>
      <c r="J1300" s="568" t="s">
        <v>288</v>
      </c>
      <c r="L1300" s="373">
        <v>1</v>
      </c>
    </row>
    <row r="1301" spans="1:12">
      <c r="A1301" s="565">
        <v>1296</v>
      </c>
      <c r="B1301" s="560" t="s">
        <v>278</v>
      </c>
      <c r="C1301" s="560" t="s">
        <v>527</v>
      </c>
      <c r="D1301" s="560" t="s">
        <v>292</v>
      </c>
      <c r="E1301" s="560">
        <v>132</v>
      </c>
      <c r="F1301" s="560">
        <v>3</v>
      </c>
      <c r="G1301" s="560" t="s">
        <v>286</v>
      </c>
      <c r="H1301" s="566">
        <v>3.7026647966339414</v>
      </c>
      <c r="I1301" s="567" t="s">
        <v>464</v>
      </c>
      <c r="J1301" s="568" t="s">
        <v>288</v>
      </c>
      <c r="L1301" s="373">
        <v>1</v>
      </c>
    </row>
    <row r="1302" spans="1:12" ht="21">
      <c r="A1302" s="565">
        <v>1297</v>
      </c>
      <c r="B1302" s="560" t="s">
        <v>278</v>
      </c>
      <c r="C1302" s="560" t="s">
        <v>527</v>
      </c>
      <c r="D1302" s="560" t="s">
        <v>291</v>
      </c>
      <c r="E1302" s="560">
        <v>136</v>
      </c>
      <c r="F1302" s="560">
        <v>4</v>
      </c>
      <c r="G1302" s="560" t="s">
        <v>286</v>
      </c>
      <c r="H1302" s="566">
        <v>3.8148667601683033</v>
      </c>
      <c r="I1302" s="567" t="s">
        <v>489</v>
      </c>
      <c r="J1302" s="568" t="s">
        <v>288</v>
      </c>
      <c r="L1302" s="373">
        <v>1</v>
      </c>
    </row>
    <row r="1303" spans="1:12">
      <c r="A1303" s="565">
        <v>1298</v>
      </c>
      <c r="B1303" s="560" t="s">
        <v>278</v>
      </c>
      <c r="C1303" s="560" t="s">
        <v>527</v>
      </c>
      <c r="D1303" s="560" t="s">
        <v>292</v>
      </c>
      <c r="E1303" s="560">
        <v>142</v>
      </c>
      <c r="F1303" s="560">
        <v>5</v>
      </c>
      <c r="G1303" s="560" t="s">
        <v>286</v>
      </c>
      <c r="H1303" s="566">
        <v>3.9831697054698458</v>
      </c>
      <c r="I1303" s="567" t="s">
        <v>288</v>
      </c>
      <c r="J1303" s="568" t="s">
        <v>288</v>
      </c>
      <c r="L1303" s="373">
        <v>1</v>
      </c>
    </row>
    <row r="1304" spans="1:12" ht="21">
      <c r="A1304" s="565">
        <v>1299</v>
      </c>
      <c r="B1304" s="560" t="s">
        <v>278</v>
      </c>
      <c r="C1304" s="560" t="s">
        <v>527</v>
      </c>
      <c r="D1304" s="560" t="s">
        <v>293</v>
      </c>
      <c r="E1304" s="560">
        <v>147</v>
      </c>
      <c r="F1304" s="560">
        <v>5</v>
      </c>
      <c r="G1304" s="560" t="s">
        <v>286</v>
      </c>
      <c r="H1304" s="566">
        <v>4.1234221598877978</v>
      </c>
      <c r="I1304" s="567" t="s">
        <v>489</v>
      </c>
      <c r="J1304" s="568" t="s">
        <v>474</v>
      </c>
      <c r="L1304" s="373">
        <v>1</v>
      </c>
    </row>
    <row r="1305" spans="1:12">
      <c r="A1305" s="565">
        <v>1300</v>
      </c>
      <c r="B1305" s="560" t="s">
        <v>278</v>
      </c>
      <c r="C1305" s="560" t="s">
        <v>527</v>
      </c>
      <c r="D1305" s="560" t="s">
        <v>292</v>
      </c>
      <c r="E1305" s="560">
        <v>149</v>
      </c>
      <c r="F1305" s="560">
        <v>6</v>
      </c>
      <c r="G1305" s="560" t="s">
        <v>286</v>
      </c>
      <c r="H1305" s="566">
        <v>4.179523141654979</v>
      </c>
      <c r="I1305" s="567" t="s">
        <v>464</v>
      </c>
      <c r="J1305" s="568" t="s">
        <v>288</v>
      </c>
      <c r="L1305" s="373">
        <v>1</v>
      </c>
    </row>
    <row r="1306" spans="1:12" ht="21">
      <c r="A1306" s="565">
        <v>1301</v>
      </c>
      <c r="B1306" s="560" t="s">
        <v>278</v>
      </c>
      <c r="C1306" s="560" t="s">
        <v>527</v>
      </c>
      <c r="D1306" s="560" t="s">
        <v>291</v>
      </c>
      <c r="E1306" s="560">
        <v>125</v>
      </c>
      <c r="F1306" s="560">
        <v>4</v>
      </c>
      <c r="G1306" s="560" t="s">
        <v>286</v>
      </c>
      <c r="H1306" s="566">
        <v>3.5063113604488079</v>
      </c>
      <c r="I1306" s="567" t="s">
        <v>288</v>
      </c>
      <c r="J1306" s="568" t="s">
        <v>496</v>
      </c>
      <c r="L1306" s="373">
        <v>1</v>
      </c>
    </row>
    <row r="1307" spans="1:12" ht="21">
      <c r="A1307" s="565">
        <v>1302</v>
      </c>
      <c r="B1307" s="560" t="s">
        <v>278</v>
      </c>
      <c r="C1307" s="560" t="s">
        <v>527</v>
      </c>
      <c r="D1307" s="560" t="s">
        <v>293</v>
      </c>
      <c r="E1307" s="560">
        <v>134</v>
      </c>
      <c r="F1307" s="560">
        <v>3</v>
      </c>
      <c r="G1307" s="560" t="s">
        <v>286</v>
      </c>
      <c r="H1307" s="566">
        <v>3.7587657784011221</v>
      </c>
      <c r="I1307" s="567" t="s">
        <v>489</v>
      </c>
      <c r="J1307" s="568" t="s">
        <v>288</v>
      </c>
      <c r="L1307" s="373">
        <v>1</v>
      </c>
    </row>
    <row r="1308" spans="1:12" ht="21">
      <c r="A1308" s="565">
        <v>1303</v>
      </c>
      <c r="B1308" s="560" t="s">
        <v>278</v>
      </c>
      <c r="C1308" s="560" t="s">
        <v>527</v>
      </c>
      <c r="D1308" s="560" t="s">
        <v>291</v>
      </c>
      <c r="E1308" s="560">
        <v>153</v>
      </c>
      <c r="F1308" s="560">
        <v>6</v>
      </c>
      <c r="G1308" s="560" t="s">
        <v>286</v>
      </c>
      <c r="H1308" s="566">
        <v>4.2917251051893412</v>
      </c>
      <c r="I1308" s="567" t="s">
        <v>489</v>
      </c>
      <c r="J1308" s="568" t="s">
        <v>288</v>
      </c>
      <c r="L1308" s="373">
        <v>1</v>
      </c>
    </row>
    <row r="1309" spans="1:12">
      <c r="A1309" s="565">
        <v>1304</v>
      </c>
      <c r="B1309" s="560" t="s">
        <v>278</v>
      </c>
      <c r="C1309" s="560" t="s">
        <v>527</v>
      </c>
      <c r="D1309" s="560" t="s">
        <v>292</v>
      </c>
      <c r="E1309" s="560">
        <v>147</v>
      </c>
      <c r="F1309" s="560">
        <v>5</v>
      </c>
      <c r="G1309" s="560" t="s">
        <v>286</v>
      </c>
      <c r="H1309" s="566">
        <v>4.1234221598877978</v>
      </c>
      <c r="I1309" s="567" t="s">
        <v>499</v>
      </c>
      <c r="J1309" s="568" t="s">
        <v>500</v>
      </c>
      <c r="L1309" s="373">
        <v>1</v>
      </c>
    </row>
    <row r="1310" spans="1:12" ht="21">
      <c r="A1310" s="565">
        <v>1305</v>
      </c>
      <c r="B1310" s="560" t="s">
        <v>278</v>
      </c>
      <c r="C1310" s="560" t="s">
        <v>527</v>
      </c>
      <c r="D1310" s="560" t="s">
        <v>293</v>
      </c>
      <c r="E1310" s="560">
        <v>142</v>
      </c>
      <c r="F1310" s="560">
        <v>4</v>
      </c>
      <c r="G1310" s="560" t="s">
        <v>286</v>
      </c>
      <c r="H1310" s="566">
        <v>3.9831697054698458</v>
      </c>
      <c r="I1310" s="567" t="s">
        <v>489</v>
      </c>
      <c r="J1310" s="568" t="s">
        <v>288</v>
      </c>
      <c r="L1310" s="373">
        <v>1</v>
      </c>
    </row>
    <row r="1311" spans="1:12">
      <c r="A1311" s="565">
        <v>1306</v>
      </c>
      <c r="B1311" s="560" t="s">
        <v>278</v>
      </c>
      <c r="C1311" s="560" t="s">
        <v>527</v>
      </c>
      <c r="D1311" s="560" t="s">
        <v>291</v>
      </c>
      <c r="E1311" s="560">
        <v>172</v>
      </c>
      <c r="F1311" s="560">
        <v>7</v>
      </c>
      <c r="G1311" s="560" t="s">
        <v>286</v>
      </c>
      <c r="H1311" s="566">
        <v>4.8246844319775599</v>
      </c>
      <c r="I1311" s="567" t="s">
        <v>288</v>
      </c>
      <c r="J1311" s="568" t="s">
        <v>288</v>
      </c>
      <c r="L1311" s="373">
        <v>1</v>
      </c>
    </row>
    <row r="1312" spans="1:12" ht="21">
      <c r="A1312" s="565">
        <v>1307</v>
      </c>
      <c r="B1312" s="560" t="s">
        <v>278</v>
      </c>
      <c r="C1312" s="560" t="s">
        <v>528</v>
      </c>
      <c r="D1312" s="560" t="s">
        <v>291</v>
      </c>
      <c r="E1312" s="560">
        <v>147</v>
      </c>
      <c r="F1312" s="560">
        <v>4</v>
      </c>
      <c r="G1312" s="560" t="s">
        <v>286</v>
      </c>
      <c r="H1312" s="566">
        <v>4.1234221598877978</v>
      </c>
      <c r="I1312" s="567" t="s">
        <v>489</v>
      </c>
      <c r="J1312" s="568" t="s">
        <v>288</v>
      </c>
      <c r="L1312" s="373">
        <v>1</v>
      </c>
    </row>
    <row r="1313" spans="1:12">
      <c r="A1313" s="565">
        <v>1308</v>
      </c>
      <c r="B1313" s="560" t="s">
        <v>278</v>
      </c>
      <c r="C1313" s="560" t="s">
        <v>528</v>
      </c>
      <c r="D1313" s="560" t="s">
        <v>292</v>
      </c>
      <c r="E1313" s="560">
        <v>124</v>
      </c>
      <c r="F1313" s="560">
        <v>4</v>
      </c>
      <c r="G1313" s="560" t="s">
        <v>286</v>
      </c>
      <c r="H1313" s="566">
        <v>3.4782608695652177</v>
      </c>
      <c r="I1313" s="567" t="s">
        <v>499</v>
      </c>
      <c r="J1313" s="568" t="s">
        <v>288</v>
      </c>
      <c r="L1313" s="373">
        <v>1</v>
      </c>
    </row>
    <row r="1314" spans="1:12" ht="21">
      <c r="A1314" s="565">
        <v>1309</v>
      </c>
      <c r="B1314" s="560" t="s">
        <v>278</v>
      </c>
      <c r="C1314" s="560" t="s">
        <v>528</v>
      </c>
      <c r="D1314" s="560" t="s">
        <v>291</v>
      </c>
      <c r="E1314" s="560">
        <v>153</v>
      </c>
      <c r="F1314" s="560">
        <v>3</v>
      </c>
      <c r="G1314" s="560" t="s">
        <v>286</v>
      </c>
      <c r="H1314" s="566">
        <v>4.2917251051893412</v>
      </c>
      <c r="I1314" s="567" t="s">
        <v>489</v>
      </c>
      <c r="J1314" s="568" t="s">
        <v>288</v>
      </c>
      <c r="L1314" s="373">
        <v>1</v>
      </c>
    </row>
    <row r="1315" spans="1:12">
      <c r="A1315" s="565">
        <v>1310</v>
      </c>
      <c r="B1315" s="560" t="s">
        <v>278</v>
      </c>
      <c r="C1315" s="560" t="s">
        <v>528</v>
      </c>
      <c r="D1315" s="560" t="s">
        <v>292</v>
      </c>
      <c r="E1315" s="560">
        <v>148</v>
      </c>
      <c r="F1315" s="560">
        <v>5</v>
      </c>
      <c r="G1315" s="560" t="s">
        <v>286</v>
      </c>
      <c r="H1315" s="566">
        <v>4.1514726507713888</v>
      </c>
      <c r="I1315" s="567" t="s">
        <v>499</v>
      </c>
      <c r="J1315" s="568" t="s">
        <v>288</v>
      </c>
      <c r="L1315" s="373">
        <v>1</v>
      </c>
    </row>
    <row r="1316" spans="1:12">
      <c r="A1316" s="565">
        <v>1311</v>
      </c>
      <c r="B1316" s="560" t="s">
        <v>278</v>
      </c>
      <c r="C1316" s="560" t="s">
        <v>528</v>
      </c>
      <c r="D1316" s="560" t="s">
        <v>291</v>
      </c>
      <c r="E1316" s="560">
        <v>135</v>
      </c>
      <c r="F1316" s="560">
        <v>2</v>
      </c>
      <c r="G1316" s="560" t="s">
        <v>286</v>
      </c>
      <c r="H1316" s="566">
        <v>3.7868162692847127</v>
      </c>
      <c r="I1316" s="567" t="s">
        <v>499</v>
      </c>
      <c r="J1316" s="568" t="s">
        <v>288</v>
      </c>
      <c r="L1316" s="373">
        <v>1</v>
      </c>
    </row>
    <row r="1317" spans="1:12">
      <c r="A1317" s="565">
        <v>1312</v>
      </c>
      <c r="B1317" s="560" t="s">
        <v>278</v>
      </c>
      <c r="C1317" s="560" t="s">
        <v>528</v>
      </c>
      <c r="D1317" s="560" t="s">
        <v>292</v>
      </c>
      <c r="E1317" s="560">
        <v>138</v>
      </c>
      <c r="F1317" s="560">
        <v>4</v>
      </c>
      <c r="G1317" s="560" t="s">
        <v>286</v>
      </c>
      <c r="H1317" s="566">
        <v>3.870967741935484</v>
      </c>
      <c r="I1317" s="567" t="s">
        <v>464</v>
      </c>
      <c r="J1317" s="568" t="s">
        <v>288</v>
      </c>
      <c r="L1317" s="373">
        <v>1</v>
      </c>
    </row>
    <row r="1318" spans="1:12">
      <c r="A1318" s="565">
        <v>1313</v>
      </c>
      <c r="B1318" s="560" t="s">
        <v>278</v>
      </c>
      <c r="C1318" s="560" t="s">
        <v>528</v>
      </c>
      <c r="D1318" s="560" t="s">
        <v>291</v>
      </c>
      <c r="E1318" s="560">
        <v>115</v>
      </c>
      <c r="F1318" s="560">
        <v>3</v>
      </c>
      <c r="G1318" s="560" t="s">
        <v>286</v>
      </c>
      <c r="H1318" s="566">
        <v>3.2258064516129035</v>
      </c>
      <c r="I1318" s="567" t="s">
        <v>288</v>
      </c>
      <c r="J1318" s="568" t="s">
        <v>288</v>
      </c>
      <c r="L1318" s="373">
        <v>1</v>
      </c>
    </row>
    <row r="1319" spans="1:12">
      <c r="A1319" s="565">
        <v>1314</v>
      </c>
      <c r="B1319" s="560" t="s">
        <v>278</v>
      </c>
      <c r="C1319" s="560" t="s">
        <v>528</v>
      </c>
      <c r="D1319" s="560" t="s">
        <v>291</v>
      </c>
      <c r="E1319" s="560">
        <v>110</v>
      </c>
      <c r="F1319" s="560">
        <v>2</v>
      </c>
      <c r="G1319" s="560" t="s">
        <v>286</v>
      </c>
      <c r="H1319" s="566">
        <v>3.085553997194951</v>
      </c>
      <c r="I1319" s="567" t="s">
        <v>288</v>
      </c>
      <c r="J1319" s="568" t="s">
        <v>288</v>
      </c>
      <c r="L1319" s="373">
        <v>1</v>
      </c>
    </row>
    <row r="1320" spans="1:12">
      <c r="A1320" s="565">
        <v>1315</v>
      </c>
      <c r="B1320" s="560" t="s">
        <v>278</v>
      </c>
      <c r="C1320" s="560" t="s">
        <v>528</v>
      </c>
      <c r="D1320" s="560" t="s">
        <v>293</v>
      </c>
      <c r="E1320" s="560">
        <v>162</v>
      </c>
      <c r="F1320" s="560">
        <v>5</v>
      </c>
      <c r="G1320" s="560" t="s">
        <v>286</v>
      </c>
      <c r="H1320" s="566">
        <v>4.5441795231416551</v>
      </c>
      <c r="I1320" s="567" t="s">
        <v>499</v>
      </c>
      <c r="J1320" s="568" t="s">
        <v>288</v>
      </c>
      <c r="L1320" s="373">
        <v>1</v>
      </c>
    </row>
    <row r="1321" spans="1:12">
      <c r="A1321" s="565">
        <v>1316</v>
      </c>
      <c r="B1321" s="560" t="s">
        <v>278</v>
      </c>
      <c r="C1321" s="560" t="s">
        <v>528</v>
      </c>
      <c r="D1321" s="560" t="s">
        <v>292</v>
      </c>
      <c r="E1321" s="560">
        <v>125</v>
      </c>
      <c r="F1321" s="560">
        <v>3</v>
      </c>
      <c r="G1321" s="560" t="s">
        <v>286</v>
      </c>
      <c r="H1321" s="566">
        <v>3.5063113604488079</v>
      </c>
      <c r="I1321" s="567" t="s">
        <v>288</v>
      </c>
      <c r="J1321" s="568" t="s">
        <v>288</v>
      </c>
      <c r="L1321" s="373">
        <v>1</v>
      </c>
    </row>
    <row r="1322" spans="1:12">
      <c r="A1322" s="565">
        <v>1317</v>
      </c>
      <c r="B1322" s="560" t="s">
        <v>278</v>
      </c>
      <c r="C1322" s="560" t="s">
        <v>528</v>
      </c>
      <c r="D1322" s="560" t="s">
        <v>291</v>
      </c>
      <c r="E1322" s="560">
        <v>132</v>
      </c>
      <c r="F1322" s="560">
        <v>4</v>
      </c>
      <c r="G1322" s="560" t="s">
        <v>286</v>
      </c>
      <c r="H1322" s="566">
        <v>3.7026647966339414</v>
      </c>
      <c r="I1322" s="567" t="s">
        <v>464</v>
      </c>
      <c r="J1322" s="568" t="s">
        <v>288</v>
      </c>
      <c r="L1322" s="373">
        <v>1</v>
      </c>
    </row>
    <row r="1323" spans="1:12">
      <c r="A1323" s="565">
        <v>1318</v>
      </c>
      <c r="B1323" s="560" t="s">
        <v>278</v>
      </c>
      <c r="C1323" s="560" t="s">
        <v>528</v>
      </c>
      <c r="D1323" s="560" t="s">
        <v>292</v>
      </c>
      <c r="E1323" s="560">
        <v>134</v>
      </c>
      <c r="F1323" s="560">
        <v>5</v>
      </c>
      <c r="G1323" s="560" t="s">
        <v>286</v>
      </c>
      <c r="H1323" s="566">
        <v>3.7587657784011221</v>
      </c>
      <c r="I1323" s="567" t="s">
        <v>288</v>
      </c>
      <c r="J1323" s="568" t="s">
        <v>288</v>
      </c>
      <c r="L1323" s="373">
        <v>1</v>
      </c>
    </row>
    <row r="1324" spans="1:12">
      <c r="A1324" s="565">
        <v>1319</v>
      </c>
      <c r="B1324" s="560" t="s">
        <v>278</v>
      </c>
      <c r="C1324" s="560" t="s">
        <v>528</v>
      </c>
      <c r="D1324" s="560" t="s">
        <v>291</v>
      </c>
      <c r="E1324" s="560">
        <v>134</v>
      </c>
      <c r="F1324" s="560">
        <v>3</v>
      </c>
      <c r="G1324" s="560" t="s">
        <v>286</v>
      </c>
      <c r="H1324" s="566">
        <v>3.7587657784011221</v>
      </c>
      <c r="I1324" s="567" t="s">
        <v>288</v>
      </c>
      <c r="J1324" s="568" t="s">
        <v>288</v>
      </c>
      <c r="L1324" s="373">
        <v>1</v>
      </c>
    </row>
    <row r="1325" spans="1:12">
      <c r="A1325" s="565">
        <v>1320</v>
      </c>
      <c r="B1325" s="560" t="s">
        <v>278</v>
      </c>
      <c r="C1325" s="560" t="s">
        <v>528</v>
      </c>
      <c r="D1325" s="560" t="s">
        <v>292</v>
      </c>
      <c r="E1325" s="560">
        <v>119</v>
      </c>
      <c r="F1325" s="560">
        <v>2</v>
      </c>
      <c r="G1325" s="560" t="s">
        <v>286</v>
      </c>
      <c r="H1325" s="566">
        <v>3.3380084151472653</v>
      </c>
      <c r="I1325" s="567" t="s">
        <v>464</v>
      </c>
      <c r="J1325" s="568" t="s">
        <v>288</v>
      </c>
      <c r="L1325" s="373">
        <v>1</v>
      </c>
    </row>
    <row r="1326" spans="1:12">
      <c r="A1326" s="565">
        <v>1321</v>
      </c>
      <c r="B1326" s="560" t="s">
        <v>278</v>
      </c>
      <c r="C1326" s="560" t="s">
        <v>528</v>
      </c>
      <c r="D1326" s="560" t="s">
        <v>291</v>
      </c>
      <c r="E1326" s="560">
        <v>121</v>
      </c>
      <c r="F1326" s="560">
        <v>3</v>
      </c>
      <c r="G1326" s="560" t="s">
        <v>286</v>
      </c>
      <c r="H1326" s="566">
        <v>3.394109396914446</v>
      </c>
      <c r="I1326" s="567" t="s">
        <v>499</v>
      </c>
      <c r="J1326" s="568" t="s">
        <v>288</v>
      </c>
      <c r="L1326" s="373">
        <v>1</v>
      </c>
    </row>
    <row r="1327" spans="1:12">
      <c r="A1327" s="565">
        <v>1322</v>
      </c>
      <c r="B1327" s="560" t="s">
        <v>278</v>
      </c>
      <c r="C1327" s="560" t="s">
        <v>528</v>
      </c>
      <c r="D1327" s="560" t="s">
        <v>291</v>
      </c>
      <c r="E1327" s="560">
        <v>118</v>
      </c>
      <c r="F1327" s="560">
        <v>4</v>
      </c>
      <c r="G1327" s="560" t="s">
        <v>286</v>
      </c>
      <c r="H1327" s="566">
        <v>3.3099579242636747</v>
      </c>
      <c r="I1327" s="567" t="s">
        <v>288</v>
      </c>
      <c r="J1327" s="568" t="s">
        <v>288</v>
      </c>
      <c r="L1327" s="373">
        <v>1</v>
      </c>
    </row>
    <row r="1328" spans="1:12">
      <c r="A1328" s="565">
        <v>1323</v>
      </c>
      <c r="B1328" s="560" t="s">
        <v>278</v>
      </c>
      <c r="C1328" s="560" t="s">
        <v>528</v>
      </c>
      <c r="D1328" s="560" t="s">
        <v>292</v>
      </c>
      <c r="E1328" s="560">
        <v>132</v>
      </c>
      <c r="F1328" s="560">
        <v>5</v>
      </c>
      <c r="G1328" s="560" t="s">
        <v>286</v>
      </c>
      <c r="H1328" s="566">
        <v>3.7026647966339414</v>
      </c>
      <c r="I1328" s="567" t="s">
        <v>499</v>
      </c>
      <c r="J1328" s="568" t="s">
        <v>288</v>
      </c>
      <c r="L1328" s="373">
        <v>1</v>
      </c>
    </row>
    <row r="1329" spans="1:12">
      <c r="A1329" s="565">
        <v>1324</v>
      </c>
      <c r="B1329" s="560" t="s">
        <v>278</v>
      </c>
      <c r="C1329" s="560" t="s">
        <v>528</v>
      </c>
      <c r="D1329" s="560" t="s">
        <v>291</v>
      </c>
      <c r="E1329" s="560">
        <v>116</v>
      </c>
      <c r="F1329" s="560">
        <v>4</v>
      </c>
      <c r="G1329" s="560" t="s">
        <v>286</v>
      </c>
      <c r="H1329" s="566">
        <v>3.2538569424964936</v>
      </c>
      <c r="I1329" s="567" t="s">
        <v>288</v>
      </c>
      <c r="J1329" s="568" t="s">
        <v>288</v>
      </c>
      <c r="L1329" s="373">
        <v>1</v>
      </c>
    </row>
    <row r="1330" spans="1:12">
      <c r="A1330" s="565">
        <v>1325</v>
      </c>
      <c r="B1330" s="560" t="s">
        <v>278</v>
      </c>
      <c r="C1330" s="560" t="s">
        <v>528</v>
      </c>
      <c r="D1330" s="560" t="s">
        <v>292</v>
      </c>
      <c r="E1330" s="560">
        <v>95</v>
      </c>
      <c r="F1330" s="560">
        <v>3</v>
      </c>
      <c r="G1330" s="560" t="s">
        <v>286</v>
      </c>
      <c r="H1330" s="566">
        <v>2.6647966339410942</v>
      </c>
      <c r="I1330" s="567" t="s">
        <v>288</v>
      </c>
      <c r="J1330" s="568" t="s">
        <v>288</v>
      </c>
      <c r="L1330" s="373">
        <v>1</v>
      </c>
    </row>
    <row r="1331" spans="1:12" ht="21">
      <c r="A1331" s="565">
        <v>1326</v>
      </c>
      <c r="B1331" s="560" t="s">
        <v>278</v>
      </c>
      <c r="C1331" s="560" t="s">
        <v>529</v>
      </c>
      <c r="D1331" s="560" t="s">
        <v>291</v>
      </c>
      <c r="E1331" s="560">
        <v>109</v>
      </c>
      <c r="F1331" s="560">
        <v>2</v>
      </c>
      <c r="G1331" s="560" t="s">
        <v>286</v>
      </c>
      <c r="H1331" s="566">
        <v>3.0575035063113605</v>
      </c>
      <c r="I1331" s="567" t="s">
        <v>489</v>
      </c>
      <c r="J1331" s="568" t="s">
        <v>288</v>
      </c>
      <c r="L1331" s="373">
        <v>1</v>
      </c>
    </row>
    <row r="1332" spans="1:12">
      <c r="A1332" s="565">
        <v>1327</v>
      </c>
      <c r="B1332" s="560" t="s">
        <v>278</v>
      </c>
      <c r="C1332" s="560" t="s">
        <v>529</v>
      </c>
      <c r="D1332" s="560" t="s">
        <v>292</v>
      </c>
      <c r="E1332" s="560">
        <v>106</v>
      </c>
      <c r="F1332" s="560">
        <v>3</v>
      </c>
      <c r="G1332" s="560" t="s">
        <v>286</v>
      </c>
      <c r="H1332" s="566">
        <v>2.9733520336605892</v>
      </c>
      <c r="I1332" s="567" t="s">
        <v>464</v>
      </c>
      <c r="J1332" s="568" t="s">
        <v>288</v>
      </c>
      <c r="L1332" s="373">
        <v>1</v>
      </c>
    </row>
    <row r="1333" spans="1:12" ht="21">
      <c r="A1333" s="565">
        <v>1328</v>
      </c>
      <c r="B1333" s="560" t="s">
        <v>278</v>
      </c>
      <c r="C1333" s="560" t="s">
        <v>529</v>
      </c>
      <c r="D1333" s="560" t="s">
        <v>291</v>
      </c>
      <c r="E1333" s="560">
        <v>164</v>
      </c>
      <c r="F1333" s="560">
        <v>6</v>
      </c>
      <c r="G1333" s="560" t="s">
        <v>286</v>
      </c>
      <c r="H1333" s="566">
        <v>4.6002805049088362</v>
      </c>
      <c r="I1333" s="567" t="s">
        <v>489</v>
      </c>
      <c r="J1333" s="568" t="s">
        <v>288</v>
      </c>
      <c r="L1333" s="373">
        <v>1</v>
      </c>
    </row>
    <row r="1334" spans="1:12">
      <c r="A1334" s="565">
        <v>1329</v>
      </c>
      <c r="B1334" s="560" t="s">
        <v>278</v>
      </c>
      <c r="C1334" s="560" t="s">
        <v>529</v>
      </c>
      <c r="D1334" s="560" t="s">
        <v>292</v>
      </c>
      <c r="E1334" s="560">
        <v>126</v>
      </c>
      <c r="F1334" s="560">
        <v>2</v>
      </c>
      <c r="G1334" s="560" t="s">
        <v>286</v>
      </c>
      <c r="H1334" s="566">
        <v>3.5343618513323984</v>
      </c>
      <c r="I1334" s="567" t="s">
        <v>464</v>
      </c>
      <c r="J1334" s="568" t="s">
        <v>288</v>
      </c>
      <c r="L1334" s="373">
        <v>1</v>
      </c>
    </row>
    <row r="1335" spans="1:12">
      <c r="A1335" s="565">
        <v>1330</v>
      </c>
      <c r="B1335" s="560" t="s">
        <v>278</v>
      </c>
      <c r="C1335" s="560" t="s">
        <v>529</v>
      </c>
      <c r="D1335" s="560" t="s">
        <v>291</v>
      </c>
      <c r="E1335" s="560">
        <v>146</v>
      </c>
      <c r="F1335" s="560">
        <v>5</v>
      </c>
      <c r="G1335" s="560" t="s">
        <v>286</v>
      </c>
      <c r="H1335" s="566">
        <v>4.0953716690042077</v>
      </c>
      <c r="I1335" s="567" t="s">
        <v>464</v>
      </c>
      <c r="J1335" s="568" t="s">
        <v>288</v>
      </c>
      <c r="L1335" s="373">
        <v>1</v>
      </c>
    </row>
    <row r="1336" spans="1:12">
      <c r="A1336" s="565">
        <v>1331</v>
      </c>
      <c r="B1336" s="560" t="s">
        <v>278</v>
      </c>
      <c r="C1336" s="560" t="s">
        <v>529</v>
      </c>
      <c r="D1336" s="560" t="s">
        <v>292</v>
      </c>
      <c r="E1336" s="560">
        <v>116</v>
      </c>
      <c r="F1336" s="560">
        <v>3</v>
      </c>
      <c r="G1336" s="560" t="s">
        <v>286</v>
      </c>
      <c r="H1336" s="566">
        <v>3.2538569424964936</v>
      </c>
      <c r="I1336" s="567" t="s">
        <v>464</v>
      </c>
      <c r="J1336" s="568" t="s">
        <v>288</v>
      </c>
      <c r="L1336" s="373">
        <v>1</v>
      </c>
    </row>
    <row r="1337" spans="1:12">
      <c r="A1337" s="565">
        <v>1332</v>
      </c>
      <c r="B1337" s="560" t="s">
        <v>278</v>
      </c>
      <c r="C1337" s="560" t="s">
        <v>529</v>
      </c>
      <c r="D1337" s="560" t="s">
        <v>292</v>
      </c>
      <c r="E1337" s="560">
        <v>105</v>
      </c>
      <c r="F1337" s="560">
        <v>2</v>
      </c>
      <c r="G1337" s="560" t="s">
        <v>286</v>
      </c>
      <c r="H1337" s="566">
        <v>2.9453015427769986</v>
      </c>
      <c r="I1337" s="567" t="s">
        <v>288</v>
      </c>
      <c r="J1337" s="568" t="s">
        <v>288</v>
      </c>
      <c r="L1337" s="373">
        <v>1</v>
      </c>
    </row>
    <row r="1338" spans="1:12" ht="21">
      <c r="A1338" s="565">
        <v>1333</v>
      </c>
      <c r="B1338" s="560" t="s">
        <v>278</v>
      </c>
      <c r="C1338" s="560" t="s">
        <v>529</v>
      </c>
      <c r="D1338" s="560" t="s">
        <v>293</v>
      </c>
      <c r="E1338" s="560">
        <v>127</v>
      </c>
      <c r="F1338" s="560">
        <v>4</v>
      </c>
      <c r="G1338" s="560" t="s">
        <v>286</v>
      </c>
      <c r="H1338" s="566">
        <v>3.562412342215989</v>
      </c>
      <c r="I1338" s="567" t="s">
        <v>489</v>
      </c>
      <c r="J1338" s="568" t="s">
        <v>288</v>
      </c>
      <c r="L1338" s="373">
        <v>1</v>
      </c>
    </row>
    <row r="1339" spans="1:12">
      <c r="A1339" s="565">
        <v>1334</v>
      </c>
      <c r="B1339" s="560" t="s">
        <v>278</v>
      </c>
      <c r="C1339" s="560" t="s">
        <v>529</v>
      </c>
      <c r="D1339" s="560" t="s">
        <v>291</v>
      </c>
      <c r="E1339" s="560">
        <v>98</v>
      </c>
      <c r="F1339" s="560">
        <v>2</v>
      </c>
      <c r="G1339" s="560" t="s">
        <v>286</v>
      </c>
      <c r="H1339" s="566">
        <v>2.7489481065918655</v>
      </c>
      <c r="I1339" s="567" t="s">
        <v>499</v>
      </c>
      <c r="J1339" s="568" t="s">
        <v>288</v>
      </c>
      <c r="L1339" s="373">
        <v>1</v>
      </c>
    </row>
    <row r="1340" spans="1:12" ht="21">
      <c r="A1340" s="565">
        <v>1335</v>
      </c>
      <c r="B1340" s="560" t="s">
        <v>278</v>
      </c>
      <c r="C1340" s="560" t="s">
        <v>529</v>
      </c>
      <c r="D1340" s="560" t="s">
        <v>291</v>
      </c>
      <c r="E1340" s="560">
        <v>148</v>
      </c>
      <c r="F1340" s="560">
        <v>5</v>
      </c>
      <c r="G1340" s="560" t="s">
        <v>286</v>
      </c>
      <c r="H1340" s="566">
        <v>4.1514726507713888</v>
      </c>
      <c r="I1340" s="567" t="s">
        <v>489</v>
      </c>
      <c r="J1340" s="568" t="s">
        <v>288</v>
      </c>
      <c r="L1340" s="373">
        <v>1</v>
      </c>
    </row>
    <row r="1341" spans="1:12" ht="21">
      <c r="A1341" s="565">
        <v>1336</v>
      </c>
      <c r="B1341" s="560" t="s">
        <v>278</v>
      </c>
      <c r="C1341" s="560" t="s">
        <v>529</v>
      </c>
      <c r="D1341" s="560" t="s">
        <v>294</v>
      </c>
      <c r="E1341" s="560">
        <v>117</v>
      </c>
      <c r="F1341" s="560">
        <v>3</v>
      </c>
      <c r="G1341" s="560" t="s">
        <v>286</v>
      </c>
      <c r="H1341" s="566">
        <v>3.2819074333800842</v>
      </c>
      <c r="I1341" s="567" t="s">
        <v>489</v>
      </c>
      <c r="J1341" s="568" t="s">
        <v>474</v>
      </c>
      <c r="L1341" s="373">
        <v>1</v>
      </c>
    </row>
    <row r="1342" spans="1:12" ht="21">
      <c r="A1342" s="565">
        <v>1337</v>
      </c>
      <c r="B1342" s="560" t="s">
        <v>278</v>
      </c>
      <c r="C1342" s="560" t="s">
        <v>529</v>
      </c>
      <c r="D1342" s="560" t="s">
        <v>293</v>
      </c>
      <c r="E1342" s="560">
        <v>140</v>
      </c>
      <c r="F1342" s="560">
        <v>4</v>
      </c>
      <c r="G1342" s="560" t="s">
        <v>286</v>
      </c>
      <c r="H1342" s="566">
        <v>3.9270687237026651</v>
      </c>
      <c r="I1342" s="567" t="s">
        <v>489</v>
      </c>
      <c r="J1342" s="568" t="s">
        <v>288</v>
      </c>
      <c r="L1342" s="373">
        <v>1</v>
      </c>
    </row>
    <row r="1343" spans="1:12">
      <c r="A1343" s="565">
        <v>1338</v>
      </c>
      <c r="B1343" s="560" t="s">
        <v>278</v>
      </c>
      <c r="C1343" s="560" t="s">
        <v>529</v>
      </c>
      <c r="D1343" s="560" t="s">
        <v>292</v>
      </c>
      <c r="E1343" s="560">
        <v>110</v>
      </c>
      <c r="F1343" s="560">
        <v>3</v>
      </c>
      <c r="G1343" s="560" t="s">
        <v>286</v>
      </c>
      <c r="H1343" s="566">
        <v>3.085553997194951</v>
      </c>
      <c r="I1343" s="567" t="s">
        <v>288</v>
      </c>
      <c r="J1343" s="568" t="s">
        <v>288</v>
      </c>
      <c r="L1343" s="373">
        <v>1</v>
      </c>
    </row>
    <row r="1344" spans="1:12">
      <c r="A1344" s="565">
        <v>1339</v>
      </c>
      <c r="B1344" s="560" t="s">
        <v>278</v>
      </c>
      <c r="C1344" s="560" t="s">
        <v>529</v>
      </c>
      <c r="D1344" s="560" t="s">
        <v>290</v>
      </c>
      <c r="E1344" s="560">
        <v>109</v>
      </c>
      <c r="F1344" s="560">
        <v>2</v>
      </c>
      <c r="G1344" s="560" t="s">
        <v>286</v>
      </c>
      <c r="H1344" s="566">
        <v>3.0575035063113605</v>
      </c>
      <c r="I1344" s="567" t="s">
        <v>288</v>
      </c>
      <c r="J1344" s="568" t="s">
        <v>288</v>
      </c>
      <c r="L1344" s="373">
        <v>1</v>
      </c>
    </row>
    <row r="1345" spans="1:12">
      <c r="A1345" s="565">
        <v>1340</v>
      </c>
      <c r="B1345" s="560" t="s">
        <v>278</v>
      </c>
      <c r="C1345" s="560" t="s">
        <v>529</v>
      </c>
      <c r="D1345" s="560" t="s">
        <v>291</v>
      </c>
      <c r="E1345" s="560">
        <v>115</v>
      </c>
      <c r="F1345" s="560">
        <v>2</v>
      </c>
      <c r="G1345" s="560" t="s">
        <v>286</v>
      </c>
      <c r="H1345" s="566">
        <v>3.2258064516129035</v>
      </c>
      <c r="I1345" s="567" t="s">
        <v>288</v>
      </c>
      <c r="J1345" s="568" t="s">
        <v>288</v>
      </c>
      <c r="L1345" s="373">
        <v>1</v>
      </c>
    </row>
    <row r="1346" spans="1:12" ht="21">
      <c r="A1346" s="565">
        <v>1341</v>
      </c>
      <c r="B1346" s="560" t="s">
        <v>278</v>
      </c>
      <c r="C1346" s="560" t="s">
        <v>529</v>
      </c>
      <c r="D1346" s="560" t="s">
        <v>291</v>
      </c>
      <c r="E1346" s="560">
        <v>116</v>
      </c>
      <c r="F1346" s="560">
        <v>4</v>
      </c>
      <c r="G1346" s="560" t="s">
        <v>286</v>
      </c>
      <c r="H1346" s="566">
        <v>3.2538569424964936</v>
      </c>
      <c r="I1346" s="567" t="s">
        <v>464</v>
      </c>
      <c r="J1346" s="568" t="s">
        <v>506</v>
      </c>
      <c r="L1346" s="373">
        <v>1</v>
      </c>
    </row>
    <row r="1347" spans="1:12">
      <c r="A1347" s="565">
        <v>1342</v>
      </c>
      <c r="B1347" s="560" t="s">
        <v>278</v>
      </c>
      <c r="C1347" s="560" t="s">
        <v>529</v>
      </c>
      <c r="D1347" s="560" t="s">
        <v>292</v>
      </c>
      <c r="E1347" s="560">
        <v>153</v>
      </c>
      <c r="F1347" s="560">
        <v>5</v>
      </c>
      <c r="G1347" s="560" t="s">
        <v>286</v>
      </c>
      <c r="H1347" s="566">
        <v>4.2917251051893412</v>
      </c>
      <c r="I1347" s="567" t="s">
        <v>464</v>
      </c>
      <c r="J1347" s="568" t="s">
        <v>288</v>
      </c>
      <c r="L1347" s="373">
        <v>1</v>
      </c>
    </row>
    <row r="1348" spans="1:12" ht="21">
      <c r="A1348" s="565">
        <v>1343</v>
      </c>
      <c r="B1348" s="560" t="s">
        <v>278</v>
      </c>
      <c r="C1348" s="560" t="s">
        <v>529</v>
      </c>
      <c r="D1348" s="560" t="s">
        <v>291</v>
      </c>
      <c r="E1348" s="560">
        <v>164</v>
      </c>
      <c r="F1348" s="560">
        <v>6</v>
      </c>
      <c r="G1348" s="560" t="s">
        <v>286</v>
      </c>
      <c r="H1348" s="566">
        <v>4.6002805049088362</v>
      </c>
      <c r="I1348" s="567" t="s">
        <v>489</v>
      </c>
      <c r="J1348" s="568" t="s">
        <v>288</v>
      </c>
      <c r="L1348" s="373">
        <v>1</v>
      </c>
    </row>
    <row r="1349" spans="1:12">
      <c r="A1349" s="565">
        <v>1344</v>
      </c>
      <c r="B1349" s="560" t="s">
        <v>278</v>
      </c>
      <c r="C1349" s="560" t="s">
        <v>529</v>
      </c>
      <c r="D1349" s="560" t="s">
        <v>291</v>
      </c>
      <c r="E1349" s="560">
        <v>123</v>
      </c>
      <c r="F1349" s="560">
        <v>2</v>
      </c>
      <c r="G1349" s="560" t="s">
        <v>286</v>
      </c>
      <c r="H1349" s="566">
        <v>3.4502103786816272</v>
      </c>
      <c r="I1349" s="567" t="s">
        <v>499</v>
      </c>
      <c r="J1349" s="568" t="s">
        <v>288</v>
      </c>
      <c r="L1349" s="373">
        <v>1</v>
      </c>
    </row>
    <row r="1350" spans="1:12" ht="21">
      <c r="A1350" s="565">
        <v>1345</v>
      </c>
      <c r="B1350" s="560" t="s">
        <v>278</v>
      </c>
      <c r="C1350" s="560" t="s">
        <v>529</v>
      </c>
      <c r="D1350" s="560" t="s">
        <v>294</v>
      </c>
      <c r="E1350" s="560">
        <v>127</v>
      </c>
      <c r="F1350" s="560">
        <v>4</v>
      </c>
      <c r="G1350" s="560" t="s">
        <v>286</v>
      </c>
      <c r="H1350" s="566">
        <v>3.562412342215989</v>
      </c>
      <c r="I1350" s="567" t="s">
        <v>489</v>
      </c>
      <c r="J1350" s="568" t="s">
        <v>288</v>
      </c>
      <c r="L1350" s="373">
        <v>1</v>
      </c>
    </row>
    <row r="1351" spans="1:12">
      <c r="A1351" s="565">
        <v>1346</v>
      </c>
      <c r="B1351" s="560" t="s">
        <v>278</v>
      </c>
      <c r="C1351" s="560" t="s">
        <v>529</v>
      </c>
      <c r="D1351" s="560" t="s">
        <v>291</v>
      </c>
      <c r="E1351" s="560">
        <v>124</v>
      </c>
      <c r="F1351" s="560">
        <v>3</v>
      </c>
      <c r="G1351" s="560" t="s">
        <v>286</v>
      </c>
      <c r="H1351" s="566">
        <v>3.4782608695652177</v>
      </c>
      <c r="I1351" s="567" t="s">
        <v>288</v>
      </c>
      <c r="J1351" s="568" t="s">
        <v>288</v>
      </c>
      <c r="L1351" s="373">
        <v>1</v>
      </c>
    </row>
    <row r="1352" spans="1:12">
      <c r="A1352" s="565">
        <v>1347</v>
      </c>
      <c r="B1352" s="560" t="s">
        <v>278</v>
      </c>
      <c r="C1352" s="560" t="s">
        <v>529</v>
      </c>
      <c r="D1352" s="560" t="s">
        <v>291</v>
      </c>
      <c r="E1352" s="560">
        <v>118</v>
      </c>
      <c r="F1352" s="560">
        <v>4</v>
      </c>
      <c r="G1352" s="560" t="s">
        <v>286</v>
      </c>
      <c r="H1352" s="566">
        <v>3.3099579242636747</v>
      </c>
      <c r="I1352" s="567" t="s">
        <v>288</v>
      </c>
      <c r="J1352" s="568" t="s">
        <v>288</v>
      </c>
      <c r="L1352" s="373">
        <v>1</v>
      </c>
    </row>
    <row r="1353" spans="1:12" ht="21">
      <c r="A1353" s="565">
        <v>1348</v>
      </c>
      <c r="B1353" s="560" t="s">
        <v>278</v>
      </c>
      <c r="C1353" s="560" t="s">
        <v>529</v>
      </c>
      <c r="D1353" s="560" t="s">
        <v>291</v>
      </c>
      <c r="E1353" s="560">
        <v>164</v>
      </c>
      <c r="F1353" s="560">
        <v>7</v>
      </c>
      <c r="G1353" s="560" t="s">
        <v>286</v>
      </c>
      <c r="H1353" s="566">
        <v>4.6002805049088362</v>
      </c>
      <c r="I1353" s="567" t="s">
        <v>464</v>
      </c>
      <c r="J1353" s="568" t="s">
        <v>506</v>
      </c>
      <c r="L1353" s="373">
        <v>1</v>
      </c>
    </row>
    <row r="1354" spans="1:12">
      <c r="A1354" s="565">
        <v>1349</v>
      </c>
      <c r="B1354" s="560" t="s">
        <v>278</v>
      </c>
      <c r="C1354" s="560" t="s">
        <v>529</v>
      </c>
      <c r="D1354" s="560" t="s">
        <v>292</v>
      </c>
      <c r="E1354" s="560">
        <v>125</v>
      </c>
      <c r="F1354" s="560">
        <v>2</v>
      </c>
      <c r="G1354" s="560" t="s">
        <v>286</v>
      </c>
      <c r="H1354" s="566">
        <v>3.5063113604488079</v>
      </c>
      <c r="I1354" s="567" t="s">
        <v>288</v>
      </c>
      <c r="J1354" s="568" t="s">
        <v>288</v>
      </c>
      <c r="L1354" s="373">
        <v>1</v>
      </c>
    </row>
    <row r="1355" spans="1:12">
      <c r="A1355" s="565">
        <v>1350</v>
      </c>
      <c r="B1355" s="560" t="s">
        <v>278</v>
      </c>
      <c r="C1355" s="560" t="s">
        <v>529</v>
      </c>
      <c r="D1355" s="560" t="s">
        <v>291</v>
      </c>
      <c r="E1355" s="560">
        <v>121</v>
      </c>
      <c r="F1355" s="560">
        <v>3</v>
      </c>
      <c r="G1355" s="560" t="s">
        <v>286</v>
      </c>
      <c r="H1355" s="566">
        <v>3.394109396914446</v>
      </c>
      <c r="I1355" s="567" t="s">
        <v>464</v>
      </c>
      <c r="J1355" s="568" t="s">
        <v>288</v>
      </c>
      <c r="L1355" s="373">
        <v>1</v>
      </c>
    </row>
    <row r="1356" spans="1:12" ht="21">
      <c r="A1356" s="565">
        <v>1351</v>
      </c>
      <c r="B1356" s="560" t="s">
        <v>278</v>
      </c>
      <c r="C1356" s="560" t="s">
        <v>529</v>
      </c>
      <c r="D1356" s="560" t="s">
        <v>294</v>
      </c>
      <c r="E1356" s="560">
        <v>164</v>
      </c>
      <c r="F1356" s="560">
        <v>4</v>
      </c>
      <c r="G1356" s="560" t="s">
        <v>286</v>
      </c>
      <c r="H1356" s="566">
        <v>4.6002805049088362</v>
      </c>
      <c r="I1356" s="567" t="s">
        <v>489</v>
      </c>
      <c r="J1356" s="568" t="s">
        <v>524</v>
      </c>
      <c r="L1356" s="373">
        <v>1</v>
      </c>
    </row>
    <row r="1357" spans="1:12">
      <c r="A1357" s="565">
        <v>1352</v>
      </c>
      <c r="B1357" s="560" t="s">
        <v>278</v>
      </c>
      <c r="C1357" s="560" t="s">
        <v>529</v>
      </c>
      <c r="D1357" s="560" t="s">
        <v>291</v>
      </c>
      <c r="E1357" s="560">
        <v>97</v>
      </c>
      <c r="F1357" s="560">
        <v>2</v>
      </c>
      <c r="G1357" s="560" t="s">
        <v>286</v>
      </c>
      <c r="H1357" s="566">
        <v>2.7208976157082749</v>
      </c>
      <c r="I1357" s="567" t="s">
        <v>499</v>
      </c>
      <c r="J1357" s="568" t="s">
        <v>288</v>
      </c>
      <c r="L1357" s="373">
        <v>1</v>
      </c>
    </row>
    <row r="1358" spans="1:12">
      <c r="A1358" s="565">
        <v>1353</v>
      </c>
      <c r="B1358" s="560" t="s">
        <v>278</v>
      </c>
      <c r="C1358" s="560" t="s">
        <v>529</v>
      </c>
      <c r="D1358" s="560" t="s">
        <v>291</v>
      </c>
      <c r="E1358" s="560">
        <v>150</v>
      </c>
      <c r="F1358" s="560">
        <v>5</v>
      </c>
      <c r="G1358" s="560" t="s">
        <v>286</v>
      </c>
      <c r="H1358" s="566">
        <v>4.20757363253857</v>
      </c>
      <c r="I1358" s="567" t="s">
        <v>288</v>
      </c>
      <c r="J1358" s="568" t="s">
        <v>288</v>
      </c>
      <c r="L1358" s="373">
        <v>1</v>
      </c>
    </row>
    <row r="1359" spans="1:12" ht="21">
      <c r="A1359" s="565">
        <v>1354</v>
      </c>
      <c r="B1359" s="560" t="s">
        <v>278</v>
      </c>
      <c r="C1359" s="560" t="s">
        <v>529</v>
      </c>
      <c r="D1359" s="560" t="s">
        <v>294</v>
      </c>
      <c r="E1359" s="560">
        <v>145</v>
      </c>
      <c r="F1359" s="560">
        <v>5</v>
      </c>
      <c r="G1359" s="560" t="s">
        <v>286</v>
      </c>
      <c r="H1359" s="566">
        <v>4.0673211781206176</v>
      </c>
      <c r="I1359" s="567" t="s">
        <v>489</v>
      </c>
      <c r="J1359" s="568" t="s">
        <v>288</v>
      </c>
      <c r="L1359" s="373">
        <v>1</v>
      </c>
    </row>
    <row r="1360" spans="1:12">
      <c r="A1360" s="565">
        <v>1355</v>
      </c>
      <c r="B1360" s="560" t="s">
        <v>278</v>
      </c>
      <c r="C1360" s="560" t="s">
        <v>529</v>
      </c>
      <c r="D1360" s="560" t="s">
        <v>291</v>
      </c>
      <c r="E1360" s="560">
        <v>131</v>
      </c>
      <c r="F1360" s="560">
        <v>3</v>
      </c>
      <c r="G1360" s="560" t="s">
        <v>286</v>
      </c>
      <c r="H1360" s="566">
        <v>3.6746143057503509</v>
      </c>
      <c r="I1360" s="567" t="s">
        <v>464</v>
      </c>
      <c r="J1360" s="568" t="s">
        <v>288</v>
      </c>
      <c r="L1360" s="373">
        <v>1</v>
      </c>
    </row>
    <row r="1361" spans="1:12" ht="21">
      <c r="A1361" s="565">
        <v>1356</v>
      </c>
      <c r="B1361" s="560" t="s">
        <v>278</v>
      </c>
      <c r="C1361" s="560" t="s">
        <v>529</v>
      </c>
      <c r="D1361" s="560" t="s">
        <v>294</v>
      </c>
      <c r="E1361" s="560">
        <v>128</v>
      </c>
      <c r="F1361" s="560">
        <v>4</v>
      </c>
      <c r="G1361" s="560" t="s">
        <v>286</v>
      </c>
      <c r="H1361" s="566">
        <v>3.5904628330995796</v>
      </c>
      <c r="I1361" s="567" t="s">
        <v>489</v>
      </c>
      <c r="J1361" s="568" t="s">
        <v>520</v>
      </c>
      <c r="L1361" s="373">
        <v>1</v>
      </c>
    </row>
    <row r="1362" spans="1:12" ht="21">
      <c r="A1362" s="565">
        <v>1357</v>
      </c>
      <c r="B1362" s="560" t="s">
        <v>277</v>
      </c>
      <c r="C1362" s="560" t="s">
        <v>529</v>
      </c>
      <c r="D1362" s="560">
        <v>1974</v>
      </c>
      <c r="E1362" s="560">
        <v>337</v>
      </c>
      <c r="F1362" s="560">
        <v>22</v>
      </c>
      <c r="G1362" s="560" t="s">
        <v>286</v>
      </c>
      <c r="H1362" s="566">
        <v>9.4530154277699872</v>
      </c>
      <c r="I1362" s="567" t="s">
        <v>492</v>
      </c>
      <c r="J1362" s="568" t="s">
        <v>288</v>
      </c>
      <c r="L1362" s="373">
        <v>1</v>
      </c>
    </row>
    <row r="1363" spans="1:12" ht="21">
      <c r="A1363" s="565">
        <v>1358</v>
      </c>
      <c r="B1363" s="560" t="s">
        <v>278</v>
      </c>
      <c r="C1363" s="560" t="s">
        <v>529</v>
      </c>
      <c r="D1363" s="560">
        <v>1974</v>
      </c>
      <c r="E1363" s="560">
        <v>336</v>
      </c>
      <c r="F1363" s="560">
        <v>17</v>
      </c>
      <c r="G1363" s="560" t="s">
        <v>286</v>
      </c>
      <c r="H1363" s="566">
        <v>9.4249649368863953</v>
      </c>
      <c r="I1363" s="567" t="s">
        <v>492</v>
      </c>
      <c r="J1363" s="568" t="s">
        <v>288</v>
      </c>
      <c r="L1363" s="373">
        <v>1</v>
      </c>
    </row>
    <row r="1364" spans="1:12" ht="21">
      <c r="A1364" s="565">
        <v>1359</v>
      </c>
      <c r="B1364" s="560" t="s">
        <v>277</v>
      </c>
      <c r="C1364" s="560" t="s">
        <v>529</v>
      </c>
      <c r="D1364" s="560">
        <v>1979</v>
      </c>
      <c r="E1364" s="560">
        <v>1191</v>
      </c>
      <c r="F1364" s="560">
        <v>42</v>
      </c>
      <c r="G1364" s="560" t="s">
        <v>286</v>
      </c>
      <c r="H1364" s="566">
        <v>33.408134642356245</v>
      </c>
      <c r="I1364" s="567" t="s">
        <v>519</v>
      </c>
      <c r="J1364" s="568" t="s">
        <v>530</v>
      </c>
      <c r="L1364" s="373">
        <v>1</v>
      </c>
    </row>
    <row r="1365" spans="1:12">
      <c r="A1365" s="565">
        <v>1360</v>
      </c>
      <c r="B1365" s="560" t="s">
        <v>278</v>
      </c>
      <c r="C1365" s="560" t="s">
        <v>641</v>
      </c>
      <c r="D1365" s="560" t="s">
        <v>290</v>
      </c>
      <c r="E1365" s="560">
        <v>97</v>
      </c>
      <c r="F1365" s="560">
        <v>3</v>
      </c>
      <c r="G1365" s="560" t="s">
        <v>286</v>
      </c>
      <c r="H1365" s="566">
        <v>2.7208976157082749</v>
      </c>
      <c r="I1365" s="567" t="s">
        <v>288</v>
      </c>
      <c r="J1365" s="568" t="s">
        <v>288</v>
      </c>
      <c r="L1365" s="373">
        <v>1</v>
      </c>
    </row>
    <row r="1366" spans="1:12">
      <c r="A1366" s="565">
        <v>1361</v>
      </c>
      <c r="B1366" s="560" t="s">
        <v>278</v>
      </c>
      <c r="C1366" s="560" t="s">
        <v>641</v>
      </c>
      <c r="D1366" s="560" t="s">
        <v>290</v>
      </c>
      <c r="E1366" s="560">
        <v>97</v>
      </c>
      <c r="F1366" s="560">
        <v>2</v>
      </c>
      <c r="G1366" s="560" t="s">
        <v>286</v>
      </c>
      <c r="H1366" s="566">
        <v>2.7208976157082749</v>
      </c>
      <c r="I1366" s="567" t="s">
        <v>288</v>
      </c>
      <c r="J1366" s="568" t="s">
        <v>288</v>
      </c>
      <c r="L1366" s="373">
        <v>1</v>
      </c>
    </row>
    <row r="1367" spans="1:12">
      <c r="A1367" s="565">
        <v>1362</v>
      </c>
      <c r="B1367" s="560" t="s">
        <v>278</v>
      </c>
      <c r="C1367" s="560" t="s">
        <v>641</v>
      </c>
      <c r="D1367" s="560" t="s">
        <v>292</v>
      </c>
      <c r="E1367" s="560">
        <v>167</v>
      </c>
      <c r="F1367" s="560">
        <v>7</v>
      </c>
      <c r="G1367" s="560" t="s">
        <v>286</v>
      </c>
      <c r="H1367" s="566">
        <v>4.6844319775596075</v>
      </c>
      <c r="I1367" s="567" t="s">
        <v>288</v>
      </c>
      <c r="J1367" s="568" t="s">
        <v>288</v>
      </c>
      <c r="L1367" s="373">
        <v>1</v>
      </c>
    </row>
    <row r="1368" spans="1:12">
      <c r="A1368" s="565">
        <v>1363</v>
      </c>
      <c r="B1368" s="560" t="s">
        <v>278</v>
      </c>
      <c r="C1368" s="560" t="s">
        <v>641</v>
      </c>
      <c r="D1368" s="560" t="s">
        <v>292</v>
      </c>
      <c r="E1368" s="560">
        <v>116</v>
      </c>
      <c r="F1368" s="560">
        <v>3</v>
      </c>
      <c r="G1368" s="560" t="s">
        <v>286</v>
      </c>
      <c r="H1368" s="566">
        <v>3.2538569424964936</v>
      </c>
      <c r="I1368" s="567" t="s">
        <v>288</v>
      </c>
      <c r="J1368" s="568" t="s">
        <v>288</v>
      </c>
      <c r="L1368" s="373">
        <v>1</v>
      </c>
    </row>
    <row r="1369" spans="1:12" ht="21">
      <c r="A1369" s="565">
        <v>1364</v>
      </c>
      <c r="B1369" s="560" t="s">
        <v>278</v>
      </c>
      <c r="C1369" s="560" t="s">
        <v>641</v>
      </c>
      <c r="D1369" s="560" t="s">
        <v>291</v>
      </c>
      <c r="E1369" s="560">
        <v>131</v>
      </c>
      <c r="F1369" s="560">
        <v>4</v>
      </c>
      <c r="G1369" s="560" t="s">
        <v>286</v>
      </c>
      <c r="H1369" s="566">
        <v>3.6746143057503509</v>
      </c>
      <c r="I1369" s="567" t="s">
        <v>489</v>
      </c>
      <c r="J1369" s="568" t="s">
        <v>288</v>
      </c>
      <c r="L1369" s="373">
        <v>1</v>
      </c>
    </row>
    <row r="1370" spans="1:12">
      <c r="A1370" s="565">
        <v>1365</v>
      </c>
      <c r="B1370" s="560" t="s">
        <v>278</v>
      </c>
      <c r="C1370" s="560" t="s">
        <v>641</v>
      </c>
      <c r="D1370" s="560" t="s">
        <v>294</v>
      </c>
      <c r="E1370" s="560">
        <v>164</v>
      </c>
      <c r="F1370" s="560">
        <v>4</v>
      </c>
      <c r="G1370" s="560" t="s">
        <v>286</v>
      </c>
      <c r="H1370" s="566">
        <v>4.6002805049088362</v>
      </c>
      <c r="I1370" s="567" t="str">
        <f>I1368</f>
        <v>Nie</v>
      </c>
      <c r="J1370" s="568" t="s">
        <v>288</v>
      </c>
      <c r="L1370" s="373">
        <v>1</v>
      </c>
    </row>
    <row r="1371" spans="1:12">
      <c r="A1371" s="565">
        <v>1366</v>
      </c>
      <c r="B1371" s="560" t="s">
        <v>278</v>
      </c>
      <c r="C1371" s="560" t="s">
        <v>516</v>
      </c>
      <c r="D1371" s="560" t="s">
        <v>291</v>
      </c>
      <c r="E1371" s="560">
        <v>97</v>
      </c>
      <c r="F1371" s="560">
        <v>2</v>
      </c>
      <c r="G1371" s="560" t="s">
        <v>286</v>
      </c>
      <c r="H1371" s="566">
        <v>2.7208976157082749</v>
      </c>
      <c r="I1371" s="567" t="str">
        <f>I1370</f>
        <v>Nie</v>
      </c>
      <c r="J1371" s="568" t="s">
        <v>288</v>
      </c>
      <c r="L1371" s="373">
        <v>1</v>
      </c>
    </row>
    <row r="1372" spans="1:12">
      <c r="A1372" s="565">
        <v>1367</v>
      </c>
      <c r="B1372" s="560" t="s">
        <v>278</v>
      </c>
      <c r="C1372" s="560" t="s">
        <v>516</v>
      </c>
      <c r="D1372" s="560" t="s">
        <v>291</v>
      </c>
      <c r="E1372" s="560">
        <v>150</v>
      </c>
      <c r="F1372" s="560">
        <v>5</v>
      </c>
      <c r="G1372" s="560" t="s">
        <v>286</v>
      </c>
      <c r="H1372" s="566">
        <v>4.20757363253857</v>
      </c>
      <c r="I1372" s="567" t="str">
        <f t="shared" ref="I1372:I1376" si="18">I1371</f>
        <v>Nie</v>
      </c>
      <c r="J1372" s="568" t="s">
        <v>288</v>
      </c>
      <c r="L1372" s="373">
        <v>1</v>
      </c>
    </row>
    <row r="1373" spans="1:12">
      <c r="A1373" s="565">
        <v>1368</v>
      </c>
      <c r="B1373" s="560" t="s">
        <v>278</v>
      </c>
      <c r="C1373" s="560" t="s">
        <v>516</v>
      </c>
      <c r="D1373" s="560" t="s">
        <v>294</v>
      </c>
      <c r="E1373" s="560">
        <v>145</v>
      </c>
      <c r="F1373" s="560">
        <v>5</v>
      </c>
      <c r="G1373" s="560" t="s">
        <v>286</v>
      </c>
      <c r="H1373" s="566">
        <v>4.0673211781206176</v>
      </c>
      <c r="I1373" s="567" t="str">
        <f t="shared" si="18"/>
        <v>Nie</v>
      </c>
      <c r="J1373" s="568" t="s">
        <v>288</v>
      </c>
      <c r="L1373" s="373">
        <v>1</v>
      </c>
    </row>
    <row r="1374" spans="1:12">
      <c r="A1374" s="565">
        <v>1369</v>
      </c>
      <c r="B1374" s="560" t="s">
        <v>278</v>
      </c>
      <c r="C1374" s="560" t="s">
        <v>516</v>
      </c>
      <c r="D1374" s="560" t="s">
        <v>291</v>
      </c>
      <c r="E1374" s="560">
        <v>131</v>
      </c>
      <c r="F1374" s="560">
        <v>3</v>
      </c>
      <c r="G1374" s="560" t="s">
        <v>286</v>
      </c>
      <c r="H1374" s="566">
        <v>3.6746143057503509</v>
      </c>
      <c r="I1374" s="567" t="str">
        <f t="shared" si="18"/>
        <v>Nie</v>
      </c>
      <c r="J1374" s="568" t="s">
        <v>288</v>
      </c>
      <c r="L1374" s="373">
        <v>1</v>
      </c>
    </row>
    <row r="1375" spans="1:12">
      <c r="A1375" s="565">
        <v>1370</v>
      </c>
      <c r="B1375" s="560" t="s">
        <v>278</v>
      </c>
      <c r="C1375" s="560" t="s">
        <v>516</v>
      </c>
      <c r="D1375" s="560" t="s">
        <v>294</v>
      </c>
      <c r="E1375" s="560">
        <v>128</v>
      </c>
      <c r="F1375" s="560">
        <v>4</v>
      </c>
      <c r="G1375" s="560" t="s">
        <v>286</v>
      </c>
      <c r="H1375" s="566">
        <v>3.5904628330995796</v>
      </c>
      <c r="I1375" s="567" t="str">
        <f t="shared" si="18"/>
        <v>Nie</v>
      </c>
      <c r="J1375" s="568" t="s">
        <v>288</v>
      </c>
      <c r="L1375" s="373">
        <v>1</v>
      </c>
    </row>
    <row r="1376" spans="1:12">
      <c r="A1376" s="565">
        <v>1371</v>
      </c>
      <c r="B1376" s="560" t="s">
        <v>278</v>
      </c>
      <c r="C1376" s="560" t="s">
        <v>516</v>
      </c>
      <c r="D1376" s="560">
        <v>1974</v>
      </c>
      <c r="E1376" s="560">
        <v>337</v>
      </c>
      <c r="F1376" s="560">
        <v>22</v>
      </c>
      <c r="G1376" s="560" t="s">
        <v>286</v>
      </c>
      <c r="H1376" s="566">
        <v>9.4530154277699872</v>
      </c>
      <c r="I1376" s="567" t="str">
        <f t="shared" si="18"/>
        <v>Nie</v>
      </c>
      <c r="J1376" s="568" t="s">
        <v>288</v>
      </c>
      <c r="L1376" s="373">
        <v>1</v>
      </c>
    </row>
    <row r="1377" spans="1:12" ht="21">
      <c r="A1377" s="565">
        <v>1372</v>
      </c>
      <c r="B1377" s="560" t="s">
        <v>278</v>
      </c>
      <c r="C1377" s="560" t="s">
        <v>529</v>
      </c>
      <c r="D1377" s="560">
        <v>1974</v>
      </c>
      <c r="E1377" s="560">
        <v>337</v>
      </c>
      <c r="F1377" s="560">
        <v>22</v>
      </c>
      <c r="G1377" s="560" t="s">
        <v>286</v>
      </c>
      <c r="H1377" s="566">
        <v>9.4530154277699872</v>
      </c>
      <c r="I1377" s="567" t="s">
        <v>492</v>
      </c>
      <c r="J1377" s="568" t="s">
        <v>288</v>
      </c>
      <c r="L1377" s="373">
        <v>1</v>
      </c>
    </row>
    <row r="1378" spans="1:12" ht="21">
      <c r="A1378" s="565">
        <v>1373</v>
      </c>
      <c r="B1378" s="560" t="s">
        <v>278</v>
      </c>
      <c r="C1378" s="560" t="s">
        <v>529</v>
      </c>
      <c r="D1378" s="560">
        <v>1974</v>
      </c>
      <c r="E1378" s="560">
        <v>336</v>
      </c>
      <c r="F1378" s="560">
        <v>17</v>
      </c>
      <c r="G1378" s="560" t="s">
        <v>286</v>
      </c>
      <c r="H1378" s="566">
        <v>9.4249649368863953</v>
      </c>
      <c r="I1378" s="567" t="s">
        <v>492</v>
      </c>
      <c r="J1378" s="568" t="s">
        <v>288</v>
      </c>
      <c r="L1378" s="373">
        <v>1</v>
      </c>
    </row>
    <row r="1379" spans="1:12" ht="21">
      <c r="A1379" s="565">
        <v>1374</v>
      </c>
      <c r="B1379" s="560" t="s">
        <v>278</v>
      </c>
      <c r="C1379" s="560" t="s">
        <v>529</v>
      </c>
      <c r="D1379" s="560">
        <v>1979</v>
      </c>
      <c r="E1379" s="560">
        <v>1191</v>
      </c>
      <c r="F1379" s="560">
        <v>42</v>
      </c>
      <c r="G1379" s="560" t="s">
        <v>286</v>
      </c>
      <c r="H1379" s="566">
        <v>33.408134642356245</v>
      </c>
      <c r="I1379" s="567" t="s">
        <v>519</v>
      </c>
      <c r="J1379" s="568" t="s">
        <v>530</v>
      </c>
      <c r="L1379" s="373">
        <v>1</v>
      </c>
    </row>
    <row r="1380" spans="1:12">
      <c r="A1380" s="565">
        <v>1375</v>
      </c>
      <c r="B1380" s="560" t="s">
        <v>278</v>
      </c>
      <c r="C1380" s="560" t="s">
        <v>529</v>
      </c>
      <c r="D1380" s="560" t="s">
        <v>294</v>
      </c>
      <c r="E1380" s="560">
        <v>164</v>
      </c>
      <c r="F1380" s="560">
        <v>4</v>
      </c>
      <c r="G1380" s="560" t="s">
        <v>286</v>
      </c>
      <c r="H1380" s="566">
        <v>4.6002805049088362</v>
      </c>
      <c r="I1380" s="567" t="str">
        <f>I1371</f>
        <v>Nie</v>
      </c>
      <c r="J1380" s="568" t="s">
        <v>288</v>
      </c>
      <c r="L1380" s="373">
        <v>1</v>
      </c>
    </row>
    <row r="1381" spans="1:12">
      <c r="A1381" s="565">
        <v>1376</v>
      </c>
      <c r="B1381" s="560" t="s">
        <v>278</v>
      </c>
      <c r="C1381" s="560" t="s">
        <v>529</v>
      </c>
      <c r="D1381" s="560" t="s">
        <v>291</v>
      </c>
      <c r="E1381" s="560">
        <v>97</v>
      </c>
      <c r="F1381" s="560">
        <v>2</v>
      </c>
      <c r="G1381" s="560" t="s">
        <v>286</v>
      </c>
      <c r="H1381" s="566">
        <v>2.7208976157082749</v>
      </c>
      <c r="I1381" s="567" t="str">
        <f t="shared" ref="I1381:I1383" si="19">I1372</f>
        <v>Nie</v>
      </c>
      <c r="J1381" s="568" t="s">
        <v>288</v>
      </c>
      <c r="L1381" s="373">
        <v>1</v>
      </c>
    </row>
    <row r="1382" spans="1:12">
      <c r="A1382" s="565">
        <v>1377</v>
      </c>
      <c r="B1382" s="560" t="s">
        <v>278</v>
      </c>
      <c r="C1382" s="560" t="s">
        <v>529</v>
      </c>
      <c r="D1382" s="560" t="s">
        <v>291</v>
      </c>
      <c r="E1382" s="560">
        <v>150</v>
      </c>
      <c r="F1382" s="560">
        <v>5</v>
      </c>
      <c r="G1382" s="560" t="s">
        <v>286</v>
      </c>
      <c r="H1382" s="566">
        <v>4.20757363253857</v>
      </c>
      <c r="I1382" s="567" t="str">
        <f t="shared" si="19"/>
        <v>Nie</v>
      </c>
      <c r="J1382" s="568" t="s">
        <v>288</v>
      </c>
      <c r="L1382" s="373">
        <v>1</v>
      </c>
    </row>
    <row r="1383" spans="1:12">
      <c r="A1383" s="565">
        <v>1378</v>
      </c>
      <c r="B1383" s="560" t="s">
        <v>278</v>
      </c>
      <c r="C1383" s="560" t="s">
        <v>529</v>
      </c>
      <c r="D1383" s="560" t="s">
        <v>294</v>
      </c>
      <c r="E1383" s="560">
        <v>145</v>
      </c>
      <c r="F1383" s="560">
        <v>5</v>
      </c>
      <c r="G1383" s="560" t="s">
        <v>286</v>
      </c>
      <c r="H1383" s="566">
        <v>4.0673211781206176</v>
      </c>
      <c r="I1383" s="567" t="str">
        <f t="shared" si="19"/>
        <v>Nie</v>
      </c>
      <c r="J1383" s="568" t="s">
        <v>288</v>
      </c>
      <c r="L1383" s="373">
        <v>1</v>
      </c>
    </row>
    <row r="1384" spans="1:12">
      <c r="A1384" s="565">
        <v>1379</v>
      </c>
      <c r="B1384" s="560" t="s">
        <v>278</v>
      </c>
      <c r="C1384" s="560" t="s">
        <v>527</v>
      </c>
      <c r="D1384" s="560" t="s">
        <v>291</v>
      </c>
      <c r="E1384" s="560">
        <v>131</v>
      </c>
      <c r="F1384" s="560">
        <v>3</v>
      </c>
      <c r="G1384" s="560" t="s">
        <v>286</v>
      </c>
      <c r="H1384" s="566">
        <v>3.6746143057503509</v>
      </c>
      <c r="I1384" s="567" t="s">
        <v>464</v>
      </c>
      <c r="J1384" s="568" t="s">
        <v>288</v>
      </c>
      <c r="L1384" s="373">
        <v>1</v>
      </c>
    </row>
    <row r="1385" spans="1:12">
      <c r="A1385" s="565">
        <v>1380</v>
      </c>
      <c r="B1385" s="560" t="s">
        <v>278</v>
      </c>
      <c r="C1385" s="560" t="s">
        <v>527</v>
      </c>
      <c r="D1385" s="560" t="s">
        <v>294</v>
      </c>
      <c r="E1385" s="560">
        <v>128</v>
      </c>
      <c r="F1385" s="560">
        <v>4</v>
      </c>
      <c r="G1385" s="560" t="s">
        <v>286</v>
      </c>
      <c r="H1385" s="566">
        <v>3.5904628330995796</v>
      </c>
      <c r="I1385" s="570" t="str">
        <f>I1382</f>
        <v>Nie</v>
      </c>
      <c r="J1385" s="568" t="s">
        <v>288</v>
      </c>
      <c r="L1385" s="373">
        <v>1</v>
      </c>
    </row>
    <row r="1386" spans="1:12">
      <c r="A1386" s="565">
        <v>1381</v>
      </c>
      <c r="B1386" s="560" t="s">
        <v>278</v>
      </c>
      <c r="C1386" s="560" t="s">
        <v>527</v>
      </c>
      <c r="D1386" s="560">
        <v>1974</v>
      </c>
      <c r="E1386" s="560">
        <v>337</v>
      </c>
      <c r="F1386" s="560">
        <v>22</v>
      </c>
      <c r="G1386" s="560" t="s">
        <v>286</v>
      </c>
      <c r="H1386" s="566">
        <v>9.4530154277699872</v>
      </c>
      <c r="I1386" s="570" t="str">
        <f t="shared" ref="I1386:I1387" si="20">I1383</f>
        <v>Nie</v>
      </c>
      <c r="J1386" s="568" t="s">
        <v>288</v>
      </c>
      <c r="L1386" s="373">
        <v>1</v>
      </c>
    </row>
    <row r="1387" spans="1:12">
      <c r="A1387" s="565">
        <v>1382</v>
      </c>
      <c r="B1387" s="560" t="s">
        <v>278</v>
      </c>
      <c r="C1387" s="560" t="s">
        <v>527</v>
      </c>
      <c r="D1387" s="560" t="s">
        <v>294</v>
      </c>
      <c r="E1387" s="560">
        <v>127</v>
      </c>
      <c r="F1387" s="560">
        <v>4</v>
      </c>
      <c r="G1387" s="560" t="s">
        <v>286</v>
      </c>
      <c r="H1387" s="566">
        <v>3.562412342215989</v>
      </c>
      <c r="I1387" s="570" t="str">
        <f t="shared" si="20"/>
        <v>Tak (nowe okna szyby zespolone)</v>
      </c>
      <c r="J1387" s="568" t="s">
        <v>288</v>
      </c>
      <c r="L1387" s="373">
        <v>1</v>
      </c>
    </row>
    <row r="1388" spans="1:12">
      <c r="A1388" s="565">
        <v>1383</v>
      </c>
      <c r="B1388" s="560" t="s">
        <v>278</v>
      </c>
      <c r="C1388" s="560" t="s">
        <v>529</v>
      </c>
      <c r="D1388" s="560" t="s">
        <v>292</v>
      </c>
      <c r="E1388" s="560">
        <v>153</v>
      </c>
      <c r="F1388" s="560">
        <v>5</v>
      </c>
      <c r="G1388" s="560" t="s">
        <v>286</v>
      </c>
      <c r="H1388" s="566">
        <v>4.2917251051893412</v>
      </c>
      <c r="I1388" s="567" t="s">
        <v>464</v>
      </c>
      <c r="J1388" s="568" t="s">
        <v>288</v>
      </c>
      <c r="L1388" s="373">
        <v>1</v>
      </c>
    </row>
    <row r="1389" spans="1:12" ht="21">
      <c r="A1389" s="565">
        <v>1384</v>
      </c>
      <c r="B1389" s="560" t="s">
        <v>278</v>
      </c>
      <c r="C1389" s="560" t="s">
        <v>529</v>
      </c>
      <c r="D1389" s="560" t="s">
        <v>291</v>
      </c>
      <c r="E1389" s="560">
        <v>164</v>
      </c>
      <c r="F1389" s="560">
        <v>6</v>
      </c>
      <c r="G1389" s="560" t="s">
        <v>286</v>
      </c>
      <c r="H1389" s="566">
        <v>4.6002805049088362</v>
      </c>
      <c r="I1389" s="567" t="s">
        <v>489</v>
      </c>
      <c r="J1389" s="568" t="s">
        <v>288</v>
      </c>
      <c r="L1389" s="373">
        <v>1</v>
      </c>
    </row>
    <row r="1390" spans="1:12">
      <c r="A1390" s="565">
        <v>1385</v>
      </c>
      <c r="B1390" s="560" t="s">
        <v>278</v>
      </c>
      <c r="C1390" s="560" t="s">
        <v>529</v>
      </c>
      <c r="D1390" s="560" t="s">
        <v>291</v>
      </c>
      <c r="E1390" s="560">
        <v>123</v>
      </c>
      <c r="F1390" s="560">
        <v>2</v>
      </c>
      <c r="G1390" s="560" t="s">
        <v>286</v>
      </c>
      <c r="H1390" s="566">
        <v>3.4502103786816272</v>
      </c>
      <c r="I1390" s="567" t="s">
        <v>499</v>
      </c>
      <c r="J1390" s="568" t="s">
        <v>288</v>
      </c>
      <c r="L1390" s="373">
        <v>1</v>
      </c>
    </row>
    <row r="1391" spans="1:12" ht="21">
      <c r="A1391" s="565">
        <v>1386</v>
      </c>
      <c r="B1391" s="560" t="s">
        <v>278</v>
      </c>
      <c r="C1391" s="560" t="s">
        <v>529</v>
      </c>
      <c r="D1391" s="560" t="s">
        <v>294</v>
      </c>
      <c r="E1391" s="560">
        <v>127</v>
      </c>
      <c r="F1391" s="560">
        <v>4</v>
      </c>
      <c r="G1391" s="560" t="s">
        <v>286</v>
      </c>
      <c r="H1391" s="566">
        <v>3.562412342215989</v>
      </c>
      <c r="I1391" s="567" t="s">
        <v>489</v>
      </c>
      <c r="J1391" s="568" t="s">
        <v>288</v>
      </c>
      <c r="L1391" s="373">
        <v>1</v>
      </c>
    </row>
    <row r="1392" spans="1:12">
      <c r="A1392" s="565">
        <v>1387</v>
      </c>
      <c r="B1392" s="560" t="s">
        <v>278</v>
      </c>
      <c r="C1392" s="560" t="s">
        <v>529</v>
      </c>
      <c r="D1392" s="560" t="s">
        <v>291</v>
      </c>
      <c r="E1392" s="560">
        <v>124</v>
      </c>
      <c r="F1392" s="560">
        <v>3</v>
      </c>
      <c r="G1392" s="560" t="s">
        <v>286</v>
      </c>
      <c r="H1392" s="566">
        <v>3.4782608695652177</v>
      </c>
      <c r="I1392" s="567" t="s">
        <v>288</v>
      </c>
      <c r="J1392" s="568" t="s">
        <v>288</v>
      </c>
      <c r="L1392" s="373">
        <v>1</v>
      </c>
    </row>
    <row r="1393" spans="1:12">
      <c r="A1393" s="565">
        <v>1388</v>
      </c>
      <c r="B1393" s="560" t="s">
        <v>278</v>
      </c>
      <c r="C1393" s="560" t="s">
        <v>529</v>
      </c>
      <c r="D1393" s="560" t="s">
        <v>291</v>
      </c>
      <c r="E1393" s="560">
        <v>118</v>
      </c>
      <c r="F1393" s="560">
        <v>4</v>
      </c>
      <c r="G1393" s="560" t="s">
        <v>286</v>
      </c>
      <c r="H1393" s="566">
        <v>3.3099579242636747</v>
      </c>
      <c r="I1393" s="567" t="s">
        <v>288</v>
      </c>
      <c r="J1393" s="568" t="s">
        <v>288</v>
      </c>
      <c r="L1393" s="373">
        <v>1</v>
      </c>
    </row>
    <row r="1394" spans="1:12" ht="21">
      <c r="A1394" s="565">
        <v>1389</v>
      </c>
      <c r="B1394" s="560" t="s">
        <v>278</v>
      </c>
      <c r="C1394" s="560" t="s">
        <v>529</v>
      </c>
      <c r="D1394" s="560" t="s">
        <v>291</v>
      </c>
      <c r="E1394" s="560">
        <v>164</v>
      </c>
      <c r="F1394" s="560">
        <v>7</v>
      </c>
      <c r="G1394" s="560" t="s">
        <v>286</v>
      </c>
      <c r="H1394" s="566">
        <v>4.6002805049088362</v>
      </c>
      <c r="I1394" s="567" t="s">
        <v>464</v>
      </c>
      <c r="J1394" s="568" t="s">
        <v>506</v>
      </c>
      <c r="L1394" s="373">
        <v>1</v>
      </c>
    </row>
    <row r="1395" spans="1:12">
      <c r="A1395" s="565">
        <v>1390</v>
      </c>
      <c r="B1395" s="560" t="s">
        <v>278</v>
      </c>
      <c r="C1395" s="560" t="s">
        <v>529</v>
      </c>
      <c r="D1395" s="560" t="s">
        <v>292</v>
      </c>
      <c r="E1395" s="560">
        <v>125</v>
      </c>
      <c r="F1395" s="560">
        <v>2</v>
      </c>
      <c r="G1395" s="560" t="s">
        <v>286</v>
      </c>
      <c r="H1395" s="566">
        <v>3.5063113604488079</v>
      </c>
      <c r="I1395" s="567" t="s">
        <v>288</v>
      </c>
      <c r="J1395" s="568" t="s">
        <v>288</v>
      </c>
      <c r="L1395" s="373">
        <v>1</v>
      </c>
    </row>
    <row r="1396" spans="1:12">
      <c r="A1396" s="565">
        <v>1391</v>
      </c>
      <c r="B1396" s="560" t="s">
        <v>278</v>
      </c>
      <c r="C1396" s="560" t="s">
        <v>529</v>
      </c>
      <c r="D1396" s="560" t="s">
        <v>291</v>
      </c>
      <c r="E1396" s="560">
        <v>121</v>
      </c>
      <c r="F1396" s="560">
        <v>3</v>
      </c>
      <c r="G1396" s="560" t="s">
        <v>286</v>
      </c>
      <c r="H1396" s="566">
        <v>3.394109396914446</v>
      </c>
      <c r="I1396" s="567" t="s">
        <v>464</v>
      </c>
      <c r="J1396" s="568" t="s">
        <v>288</v>
      </c>
      <c r="L1396" s="373">
        <v>1</v>
      </c>
    </row>
    <row r="1397" spans="1:12" ht="21">
      <c r="A1397" s="565">
        <v>1392</v>
      </c>
      <c r="B1397" s="560" t="s">
        <v>278</v>
      </c>
      <c r="C1397" s="560" t="s">
        <v>529</v>
      </c>
      <c r="D1397" s="560" t="s">
        <v>294</v>
      </c>
      <c r="E1397" s="560">
        <v>164</v>
      </c>
      <c r="F1397" s="560">
        <v>4</v>
      </c>
      <c r="G1397" s="560" t="s">
        <v>286</v>
      </c>
      <c r="H1397" s="566">
        <v>4.6002805049088362</v>
      </c>
      <c r="I1397" s="567" t="s">
        <v>489</v>
      </c>
      <c r="J1397" s="568" t="s">
        <v>524</v>
      </c>
      <c r="L1397" s="373">
        <v>1</v>
      </c>
    </row>
    <row r="1398" spans="1:12">
      <c r="A1398" s="565">
        <v>1393</v>
      </c>
      <c r="B1398" s="560" t="s">
        <v>278</v>
      </c>
      <c r="C1398" s="560" t="s">
        <v>529</v>
      </c>
      <c r="D1398" s="560" t="s">
        <v>291</v>
      </c>
      <c r="E1398" s="560">
        <v>97</v>
      </c>
      <c r="F1398" s="560">
        <v>2</v>
      </c>
      <c r="G1398" s="560" t="s">
        <v>286</v>
      </c>
      <c r="H1398" s="566">
        <v>2.7208976157082749</v>
      </c>
      <c r="I1398" s="567" t="s">
        <v>499</v>
      </c>
      <c r="J1398" s="568" t="s">
        <v>288</v>
      </c>
      <c r="L1398" s="373">
        <v>1</v>
      </c>
    </row>
    <row r="1399" spans="1:12">
      <c r="A1399" s="565">
        <v>1394</v>
      </c>
      <c r="B1399" s="560" t="s">
        <v>278</v>
      </c>
      <c r="C1399" s="560" t="s">
        <v>529</v>
      </c>
      <c r="D1399" s="560" t="s">
        <v>291</v>
      </c>
      <c r="E1399" s="560">
        <v>150</v>
      </c>
      <c r="F1399" s="560">
        <v>5</v>
      </c>
      <c r="G1399" s="560" t="s">
        <v>286</v>
      </c>
      <c r="H1399" s="566">
        <v>4.20757363253857</v>
      </c>
      <c r="I1399" s="567" t="s">
        <v>288</v>
      </c>
      <c r="J1399" s="568" t="s">
        <v>288</v>
      </c>
      <c r="L1399" s="373">
        <v>1</v>
      </c>
    </row>
    <row r="1400" spans="1:12" ht="21">
      <c r="A1400" s="565">
        <v>1395</v>
      </c>
      <c r="B1400" s="560" t="s">
        <v>278</v>
      </c>
      <c r="C1400" s="560" t="s">
        <v>529</v>
      </c>
      <c r="D1400" s="560" t="s">
        <v>294</v>
      </c>
      <c r="E1400" s="560">
        <v>145</v>
      </c>
      <c r="F1400" s="560">
        <v>5</v>
      </c>
      <c r="G1400" s="560" t="s">
        <v>286</v>
      </c>
      <c r="H1400" s="566">
        <v>4.0673211781206176</v>
      </c>
      <c r="I1400" s="567" t="s">
        <v>489</v>
      </c>
      <c r="J1400" s="568" t="s">
        <v>288</v>
      </c>
      <c r="L1400" s="373">
        <v>1</v>
      </c>
    </row>
    <row r="1401" spans="1:12">
      <c r="A1401" s="565">
        <v>1396</v>
      </c>
      <c r="B1401" s="560" t="s">
        <v>278</v>
      </c>
      <c r="C1401" s="560" t="s">
        <v>529</v>
      </c>
      <c r="D1401" s="560" t="s">
        <v>291</v>
      </c>
      <c r="E1401" s="560">
        <v>131</v>
      </c>
      <c r="F1401" s="560">
        <v>3</v>
      </c>
      <c r="G1401" s="560" t="s">
        <v>286</v>
      </c>
      <c r="H1401" s="566">
        <v>3.6746143057503509</v>
      </c>
      <c r="I1401" s="567" t="s">
        <v>464</v>
      </c>
      <c r="J1401" s="568" t="s">
        <v>288</v>
      </c>
      <c r="L1401" s="373">
        <v>1</v>
      </c>
    </row>
    <row r="1402" spans="1:12">
      <c r="A1402" s="565">
        <v>1397</v>
      </c>
      <c r="B1402" s="560" t="s">
        <v>278</v>
      </c>
      <c r="C1402" s="560" t="s">
        <v>527</v>
      </c>
      <c r="D1402" s="560" t="s">
        <v>292</v>
      </c>
      <c r="E1402" s="560">
        <v>147</v>
      </c>
      <c r="F1402" s="560">
        <v>4</v>
      </c>
      <c r="G1402" s="560" t="s">
        <v>286</v>
      </c>
      <c r="H1402" s="566">
        <v>4.1234221598877978</v>
      </c>
      <c r="I1402" s="567" t="s">
        <v>288</v>
      </c>
      <c r="J1402" s="568" t="s">
        <v>288</v>
      </c>
      <c r="L1402" s="373">
        <v>1</v>
      </c>
    </row>
    <row r="1403" spans="1:12">
      <c r="A1403" s="565">
        <v>1398</v>
      </c>
      <c r="B1403" s="560" t="s">
        <v>278</v>
      </c>
      <c r="C1403" s="560" t="s">
        <v>527</v>
      </c>
      <c r="D1403" s="560" t="s">
        <v>292</v>
      </c>
      <c r="E1403" s="560">
        <v>92</v>
      </c>
      <c r="F1403" s="560">
        <v>2</v>
      </c>
      <c r="G1403" s="560" t="s">
        <v>286</v>
      </c>
      <c r="H1403" s="566">
        <v>2.5806451612903225</v>
      </c>
      <c r="I1403" s="567" t="s">
        <v>288</v>
      </c>
      <c r="J1403" s="568" t="s">
        <v>288</v>
      </c>
      <c r="L1403" s="373">
        <v>1</v>
      </c>
    </row>
    <row r="1404" spans="1:12">
      <c r="A1404" s="565">
        <v>1399</v>
      </c>
      <c r="B1404" s="560" t="s">
        <v>278</v>
      </c>
      <c r="C1404" s="560" t="s">
        <v>527</v>
      </c>
      <c r="D1404" s="560" t="s">
        <v>292</v>
      </c>
      <c r="E1404" s="560">
        <v>154</v>
      </c>
      <c r="F1404" s="560">
        <v>5</v>
      </c>
      <c r="G1404" s="560" t="s">
        <v>286</v>
      </c>
      <c r="H1404" s="566">
        <v>4.3197755960729314</v>
      </c>
      <c r="I1404" s="567" t="s">
        <v>288</v>
      </c>
      <c r="J1404" s="568" t="s">
        <v>288</v>
      </c>
      <c r="L1404" s="373">
        <v>1</v>
      </c>
    </row>
    <row r="1405" spans="1:12" ht="21">
      <c r="A1405" s="565">
        <v>1400</v>
      </c>
      <c r="B1405" s="560" t="s">
        <v>278</v>
      </c>
      <c r="C1405" s="560" t="s">
        <v>527</v>
      </c>
      <c r="D1405" s="560" t="s">
        <v>293</v>
      </c>
      <c r="E1405" s="560">
        <v>136</v>
      </c>
      <c r="F1405" s="560">
        <v>3</v>
      </c>
      <c r="G1405" s="560" t="s">
        <v>286</v>
      </c>
      <c r="H1405" s="566">
        <v>3.8148667601683033</v>
      </c>
      <c r="I1405" s="567" t="s">
        <v>489</v>
      </c>
      <c r="J1405" s="568" t="s">
        <v>288</v>
      </c>
      <c r="L1405" s="373">
        <v>1</v>
      </c>
    </row>
    <row r="1406" spans="1:12" ht="21">
      <c r="A1406" s="565">
        <v>1401</v>
      </c>
      <c r="B1406" s="560" t="s">
        <v>278</v>
      </c>
      <c r="C1406" s="560" t="s">
        <v>527</v>
      </c>
      <c r="D1406" s="560" t="s">
        <v>291</v>
      </c>
      <c r="E1406" s="560">
        <v>164</v>
      </c>
      <c r="F1406" s="560">
        <v>5</v>
      </c>
      <c r="G1406" s="560" t="s">
        <v>286</v>
      </c>
      <c r="H1406" s="566">
        <v>4.6002805049088362</v>
      </c>
      <c r="I1406" s="567" t="s">
        <v>489</v>
      </c>
      <c r="J1406" s="568" t="s">
        <v>288</v>
      </c>
      <c r="L1406" s="373">
        <v>1</v>
      </c>
    </row>
    <row r="1407" spans="1:12">
      <c r="A1407" s="565">
        <v>1402</v>
      </c>
      <c r="B1407" s="560" t="s">
        <v>278</v>
      </c>
      <c r="C1407" s="560" t="s">
        <v>527</v>
      </c>
      <c r="D1407" s="560" t="s">
        <v>292</v>
      </c>
      <c r="E1407" s="560">
        <v>131</v>
      </c>
      <c r="F1407" s="560">
        <v>4</v>
      </c>
      <c r="G1407" s="560" t="s">
        <v>286</v>
      </c>
      <c r="H1407" s="566">
        <v>3.6746143057503509</v>
      </c>
      <c r="I1407" s="567" t="s">
        <v>288</v>
      </c>
      <c r="J1407" s="568" t="s">
        <v>288</v>
      </c>
      <c r="L1407" s="373">
        <v>1</v>
      </c>
    </row>
    <row r="1408" spans="1:12" ht="21">
      <c r="A1408" s="565">
        <v>1403</v>
      </c>
      <c r="B1408" s="560" t="s">
        <v>278</v>
      </c>
      <c r="C1408" s="560" t="s">
        <v>527</v>
      </c>
      <c r="D1408" s="560" t="s">
        <v>293</v>
      </c>
      <c r="E1408" s="560">
        <v>152</v>
      </c>
      <c r="F1408" s="560">
        <v>5</v>
      </c>
      <c r="G1408" s="560" t="s">
        <v>286</v>
      </c>
      <c r="H1408" s="566">
        <v>4.2636746143057502</v>
      </c>
      <c r="I1408" s="567" t="s">
        <v>489</v>
      </c>
      <c r="J1408" s="568" t="s">
        <v>474</v>
      </c>
      <c r="L1408" s="373">
        <v>1</v>
      </c>
    </row>
    <row r="1409" spans="1:12">
      <c r="A1409" s="565">
        <v>1404</v>
      </c>
      <c r="B1409" s="560" t="s">
        <v>278</v>
      </c>
      <c r="C1409" s="560" t="s">
        <v>527</v>
      </c>
      <c r="D1409" s="560" t="s">
        <v>292</v>
      </c>
      <c r="E1409" s="560">
        <v>128</v>
      </c>
      <c r="F1409" s="560">
        <v>4</v>
      </c>
      <c r="G1409" s="560" t="s">
        <v>286</v>
      </c>
      <c r="H1409" s="566">
        <v>3.5904628330995796</v>
      </c>
      <c r="I1409" s="567" t="s">
        <v>464</v>
      </c>
      <c r="J1409" s="568" t="s">
        <v>288</v>
      </c>
      <c r="L1409" s="373">
        <v>1</v>
      </c>
    </row>
    <row r="1410" spans="1:12" ht="21">
      <c r="A1410" s="565">
        <v>1405</v>
      </c>
      <c r="B1410" s="560" t="s">
        <v>278</v>
      </c>
      <c r="C1410" s="560" t="s">
        <v>527</v>
      </c>
      <c r="D1410" s="560" t="s">
        <v>291</v>
      </c>
      <c r="E1410" s="560">
        <v>147</v>
      </c>
      <c r="F1410" s="560">
        <v>3</v>
      </c>
      <c r="G1410" s="560" t="s">
        <v>286</v>
      </c>
      <c r="H1410" s="566">
        <v>4.1234221598877978</v>
      </c>
      <c r="I1410" s="567" t="s">
        <v>489</v>
      </c>
      <c r="J1410" s="568" t="s">
        <v>288</v>
      </c>
      <c r="L1410" s="373">
        <v>1</v>
      </c>
    </row>
    <row r="1411" spans="1:12" ht="21">
      <c r="A1411" s="565">
        <v>1406</v>
      </c>
      <c r="B1411" s="560" t="s">
        <v>278</v>
      </c>
      <c r="C1411" s="560" t="s">
        <v>527</v>
      </c>
      <c r="D1411" s="560" t="s">
        <v>291</v>
      </c>
      <c r="E1411" s="560">
        <v>152</v>
      </c>
      <c r="F1411" s="560">
        <v>4</v>
      </c>
      <c r="G1411" s="560" t="s">
        <v>286</v>
      </c>
      <c r="H1411" s="566">
        <v>4.2636746143057502</v>
      </c>
      <c r="I1411" s="567" t="s">
        <v>489</v>
      </c>
      <c r="J1411" s="568" t="s">
        <v>288</v>
      </c>
      <c r="L1411" s="373">
        <v>1</v>
      </c>
    </row>
    <row r="1412" spans="1:12">
      <c r="A1412" s="565">
        <v>1407</v>
      </c>
      <c r="B1412" s="560" t="s">
        <v>278</v>
      </c>
      <c r="C1412" s="560" t="s">
        <v>527</v>
      </c>
      <c r="D1412" s="560" t="s">
        <v>291</v>
      </c>
      <c r="E1412" s="560">
        <v>196</v>
      </c>
      <c r="F1412" s="560">
        <v>8</v>
      </c>
      <c r="G1412" s="560" t="s">
        <v>286</v>
      </c>
      <c r="H1412" s="566">
        <v>5.497896213183731</v>
      </c>
      <c r="I1412" s="567" t="s">
        <v>499</v>
      </c>
      <c r="J1412" s="568" t="s">
        <v>500</v>
      </c>
      <c r="L1412" s="373">
        <v>1</v>
      </c>
    </row>
    <row r="1413" spans="1:12">
      <c r="A1413" s="565">
        <v>1408</v>
      </c>
      <c r="B1413" s="560" t="s">
        <v>278</v>
      </c>
      <c r="C1413" s="560" t="s">
        <v>527</v>
      </c>
      <c r="D1413" s="560" t="s">
        <v>291</v>
      </c>
      <c r="E1413" s="560">
        <v>137</v>
      </c>
      <c r="F1413" s="560">
        <v>3</v>
      </c>
      <c r="G1413" s="560" t="s">
        <v>286</v>
      </c>
      <c r="H1413" s="566">
        <v>3.8429172510518934</v>
      </c>
      <c r="I1413" s="567" t="s">
        <v>499</v>
      </c>
      <c r="J1413" s="568" t="s">
        <v>288</v>
      </c>
      <c r="L1413" s="373">
        <v>1</v>
      </c>
    </row>
    <row r="1414" spans="1:12">
      <c r="A1414" s="565">
        <v>1409</v>
      </c>
      <c r="B1414" s="560" t="s">
        <v>278</v>
      </c>
      <c r="C1414" s="560" t="s">
        <v>527</v>
      </c>
      <c r="D1414" s="560" t="s">
        <v>291</v>
      </c>
      <c r="E1414" s="560">
        <v>158</v>
      </c>
      <c r="F1414" s="560">
        <v>6</v>
      </c>
      <c r="G1414" s="560" t="s">
        <v>286</v>
      </c>
      <c r="H1414" s="566">
        <v>4.4319775596072937</v>
      </c>
      <c r="I1414" s="567" t="s">
        <v>288</v>
      </c>
      <c r="J1414" s="568" t="s">
        <v>288</v>
      </c>
      <c r="L1414" s="373">
        <v>1</v>
      </c>
    </row>
    <row r="1415" spans="1:12">
      <c r="A1415" s="565">
        <v>1410</v>
      </c>
      <c r="B1415" s="560" t="s">
        <v>278</v>
      </c>
      <c r="C1415" s="560" t="s">
        <v>527</v>
      </c>
      <c r="D1415" s="560" t="s">
        <v>291</v>
      </c>
      <c r="E1415" s="560">
        <v>129</v>
      </c>
      <c r="F1415" s="560">
        <v>3</v>
      </c>
      <c r="G1415" s="560" t="s">
        <v>286</v>
      </c>
      <c r="H1415" s="566">
        <v>3.6185133239831697</v>
      </c>
      <c r="I1415" s="567" t="s">
        <v>464</v>
      </c>
      <c r="J1415" s="568" t="s">
        <v>288</v>
      </c>
      <c r="L1415" s="373">
        <v>1</v>
      </c>
    </row>
    <row r="1416" spans="1:12">
      <c r="A1416" s="565">
        <v>1411</v>
      </c>
      <c r="B1416" s="560" t="s">
        <v>278</v>
      </c>
      <c r="C1416" s="560" t="s">
        <v>527</v>
      </c>
      <c r="D1416" s="560" t="s">
        <v>292</v>
      </c>
      <c r="E1416" s="560">
        <v>122</v>
      </c>
      <c r="F1416" s="560">
        <v>3</v>
      </c>
      <c r="G1416" s="560" t="s">
        <v>286</v>
      </c>
      <c r="H1416" s="566">
        <v>3.4221598877980366</v>
      </c>
      <c r="I1416" s="567" t="s">
        <v>288</v>
      </c>
      <c r="J1416" s="568" t="s">
        <v>288</v>
      </c>
      <c r="L1416" s="373">
        <v>1</v>
      </c>
    </row>
    <row r="1417" spans="1:12">
      <c r="A1417" s="565">
        <v>1412</v>
      </c>
      <c r="B1417" s="560" t="s">
        <v>278</v>
      </c>
      <c r="C1417" s="560" t="s">
        <v>527</v>
      </c>
      <c r="D1417" s="560" t="s">
        <v>292</v>
      </c>
      <c r="E1417" s="560">
        <v>143</v>
      </c>
      <c r="F1417" s="560">
        <v>5</v>
      </c>
      <c r="G1417" s="560" t="s">
        <v>286</v>
      </c>
      <c r="H1417" s="566">
        <v>4.0112201963534364</v>
      </c>
      <c r="I1417" s="567" t="s">
        <v>288</v>
      </c>
      <c r="J1417" s="568" t="s">
        <v>288</v>
      </c>
      <c r="L1417" s="373">
        <v>1</v>
      </c>
    </row>
    <row r="1418" spans="1:12">
      <c r="A1418" s="565">
        <v>1413</v>
      </c>
      <c r="B1418" s="560" t="s">
        <v>278</v>
      </c>
      <c r="C1418" s="560" t="s">
        <v>526</v>
      </c>
      <c r="D1418" s="560" t="s">
        <v>290</v>
      </c>
      <c r="E1418" s="560">
        <v>97</v>
      </c>
      <c r="F1418" s="560">
        <v>2</v>
      </c>
      <c r="G1418" s="560" t="s">
        <v>286</v>
      </c>
      <c r="H1418" s="566">
        <v>2.7208976157082749</v>
      </c>
      <c r="I1418" s="567" t="s">
        <v>288</v>
      </c>
      <c r="J1418" s="568" t="s">
        <v>288</v>
      </c>
      <c r="L1418" s="373">
        <v>1</v>
      </c>
    </row>
    <row r="1419" spans="1:12">
      <c r="A1419" s="565">
        <v>1414</v>
      </c>
      <c r="B1419" s="560" t="s">
        <v>278</v>
      </c>
      <c r="C1419" s="560" t="s">
        <v>526</v>
      </c>
      <c r="D1419" s="560" t="s">
        <v>291</v>
      </c>
      <c r="E1419" s="560">
        <v>111</v>
      </c>
      <c r="F1419" s="560">
        <v>4</v>
      </c>
      <c r="G1419" s="560" t="s">
        <v>286</v>
      </c>
      <c r="H1419" s="566">
        <v>3.1136044880785416</v>
      </c>
      <c r="I1419" s="567" t="s">
        <v>464</v>
      </c>
      <c r="J1419" s="568" t="s">
        <v>288</v>
      </c>
      <c r="L1419" s="373">
        <v>1</v>
      </c>
    </row>
    <row r="1420" spans="1:12" ht="21">
      <c r="A1420" s="565">
        <v>1415</v>
      </c>
      <c r="B1420" s="560" t="s">
        <v>278</v>
      </c>
      <c r="C1420" s="560" t="s">
        <v>526</v>
      </c>
      <c r="D1420" s="560" t="s">
        <v>292</v>
      </c>
      <c r="E1420" s="560">
        <v>147</v>
      </c>
      <c r="F1420" s="560">
        <v>3</v>
      </c>
      <c r="G1420" s="560" t="s">
        <v>286</v>
      </c>
      <c r="H1420" s="566">
        <v>4.1234221598877978</v>
      </c>
      <c r="I1420" s="567" t="s">
        <v>464</v>
      </c>
      <c r="J1420" s="568" t="s">
        <v>506</v>
      </c>
      <c r="L1420" s="373">
        <v>1</v>
      </c>
    </row>
    <row r="1421" spans="1:12">
      <c r="A1421" s="565">
        <v>1416</v>
      </c>
      <c r="B1421" s="560" t="s">
        <v>278</v>
      </c>
      <c r="C1421" s="560" t="s">
        <v>526</v>
      </c>
      <c r="D1421" s="560" t="s">
        <v>290</v>
      </c>
      <c r="E1421" s="560">
        <v>110</v>
      </c>
      <c r="F1421" s="560">
        <v>2</v>
      </c>
      <c r="G1421" s="560" t="s">
        <v>286</v>
      </c>
      <c r="H1421" s="566">
        <v>3.085553997194951</v>
      </c>
      <c r="I1421" s="567" t="s">
        <v>288</v>
      </c>
      <c r="J1421" s="568" t="s">
        <v>288</v>
      </c>
      <c r="L1421" s="373">
        <v>1</v>
      </c>
    </row>
    <row r="1422" spans="1:12">
      <c r="A1422" s="565">
        <v>1417</v>
      </c>
      <c r="B1422" s="560" t="s">
        <v>278</v>
      </c>
      <c r="C1422" s="560" t="s">
        <v>526</v>
      </c>
      <c r="D1422" s="560" t="s">
        <v>291</v>
      </c>
      <c r="E1422" s="560">
        <v>143</v>
      </c>
      <c r="F1422" s="560">
        <v>3</v>
      </c>
      <c r="G1422" s="560" t="s">
        <v>286</v>
      </c>
      <c r="H1422" s="566">
        <v>4.0112201963534364</v>
      </c>
      <c r="I1422" s="567" t="s">
        <v>499</v>
      </c>
      <c r="J1422" s="568" t="s">
        <v>288</v>
      </c>
      <c r="L1422" s="373">
        <v>1</v>
      </c>
    </row>
    <row r="1423" spans="1:12" ht="21">
      <c r="A1423" s="565">
        <v>1418</v>
      </c>
      <c r="B1423" s="560" t="s">
        <v>278</v>
      </c>
      <c r="C1423" s="560" t="s">
        <v>526</v>
      </c>
      <c r="D1423" s="560" t="s">
        <v>293</v>
      </c>
      <c r="E1423" s="560">
        <v>136</v>
      </c>
      <c r="F1423" s="560">
        <v>4</v>
      </c>
      <c r="G1423" s="560" t="s">
        <v>286</v>
      </c>
      <c r="H1423" s="566">
        <v>3.8148667601683033</v>
      </c>
      <c r="I1423" s="567" t="s">
        <v>489</v>
      </c>
      <c r="J1423" s="568" t="s">
        <v>474</v>
      </c>
      <c r="L1423" s="373">
        <v>1</v>
      </c>
    </row>
    <row r="1424" spans="1:12" ht="21">
      <c r="A1424" s="565">
        <v>1419</v>
      </c>
      <c r="B1424" s="560" t="s">
        <v>278</v>
      </c>
      <c r="C1424" s="560" t="s">
        <v>526</v>
      </c>
      <c r="D1424" s="560" t="s">
        <v>291</v>
      </c>
      <c r="E1424" s="560">
        <v>162</v>
      </c>
      <c r="F1424" s="560">
        <v>5</v>
      </c>
      <c r="G1424" s="560" t="s">
        <v>286</v>
      </c>
      <c r="H1424" s="566">
        <v>4.5441795231416551</v>
      </c>
      <c r="I1424" s="567" t="s">
        <v>489</v>
      </c>
      <c r="J1424" s="568" t="s">
        <v>288</v>
      </c>
      <c r="L1424" s="373">
        <v>1</v>
      </c>
    </row>
    <row r="1425" spans="1:12">
      <c r="A1425" s="565">
        <v>1420</v>
      </c>
      <c r="B1425" s="560" t="s">
        <v>278</v>
      </c>
      <c r="C1425" s="560" t="s">
        <v>526</v>
      </c>
      <c r="D1425" s="560" t="s">
        <v>292</v>
      </c>
      <c r="E1425" s="560">
        <v>112</v>
      </c>
      <c r="F1425" s="560">
        <v>2</v>
      </c>
      <c r="G1425" s="560" t="s">
        <v>286</v>
      </c>
      <c r="H1425" s="566">
        <v>3.1416549789621318</v>
      </c>
      <c r="I1425" s="567" t="s">
        <v>288</v>
      </c>
      <c r="J1425" s="568" t="s">
        <v>288</v>
      </c>
      <c r="L1425" s="373">
        <v>1</v>
      </c>
    </row>
    <row r="1426" spans="1:12">
      <c r="A1426" s="565">
        <v>1421</v>
      </c>
      <c r="B1426" s="560" t="s">
        <v>278</v>
      </c>
      <c r="C1426" s="560" t="s">
        <v>526</v>
      </c>
      <c r="D1426" s="560" t="s">
        <v>291</v>
      </c>
      <c r="E1426" s="560">
        <v>143</v>
      </c>
      <c r="F1426" s="560">
        <v>3</v>
      </c>
      <c r="G1426" s="560" t="s">
        <v>286</v>
      </c>
      <c r="H1426" s="566">
        <v>4.0112201963534364</v>
      </c>
      <c r="I1426" s="567" t="s">
        <v>464</v>
      </c>
      <c r="J1426" s="568" t="s">
        <v>288</v>
      </c>
      <c r="L1426" s="373">
        <v>1</v>
      </c>
    </row>
    <row r="1427" spans="1:12">
      <c r="A1427" s="565">
        <v>1422</v>
      </c>
      <c r="B1427" s="560" t="s">
        <v>278</v>
      </c>
      <c r="C1427" s="560" t="s">
        <v>526</v>
      </c>
      <c r="D1427" s="560" t="s">
        <v>291</v>
      </c>
      <c r="E1427" s="560">
        <v>158</v>
      </c>
      <c r="F1427" s="560">
        <v>5</v>
      </c>
      <c r="G1427" s="560" t="s">
        <v>286</v>
      </c>
      <c r="H1427" s="566">
        <v>4.4319775596072937</v>
      </c>
      <c r="I1427" s="567" t="s">
        <v>499</v>
      </c>
      <c r="J1427" s="568" t="s">
        <v>288</v>
      </c>
      <c r="L1427" s="373">
        <v>1</v>
      </c>
    </row>
    <row r="1428" spans="1:12">
      <c r="A1428" s="565">
        <v>1423</v>
      </c>
      <c r="B1428" s="560" t="s">
        <v>278</v>
      </c>
      <c r="C1428" s="560" t="s">
        <v>526</v>
      </c>
      <c r="D1428" s="560" t="s">
        <v>292</v>
      </c>
      <c r="E1428" s="560">
        <v>115</v>
      </c>
      <c r="F1428" s="560">
        <v>3</v>
      </c>
      <c r="G1428" s="560" t="s">
        <v>286</v>
      </c>
      <c r="H1428" s="566">
        <v>3.2258064516129035</v>
      </c>
      <c r="I1428" s="567" t="s">
        <v>464</v>
      </c>
      <c r="J1428" s="568" t="s">
        <v>288</v>
      </c>
      <c r="L1428" s="373">
        <v>1</v>
      </c>
    </row>
    <row r="1429" spans="1:12">
      <c r="A1429" s="565">
        <v>1424</v>
      </c>
      <c r="B1429" s="560" t="s">
        <v>278</v>
      </c>
      <c r="C1429" s="560" t="s">
        <v>526</v>
      </c>
      <c r="D1429" s="560" t="s">
        <v>291</v>
      </c>
      <c r="E1429" s="560">
        <v>133</v>
      </c>
      <c r="F1429" s="560">
        <v>3</v>
      </c>
      <c r="G1429" s="560" t="s">
        <v>286</v>
      </c>
      <c r="H1429" s="566">
        <v>3.7307152875175316</v>
      </c>
      <c r="I1429" s="567" t="s">
        <v>288</v>
      </c>
      <c r="J1429" s="568" t="s">
        <v>288</v>
      </c>
      <c r="L1429" s="373">
        <v>1</v>
      </c>
    </row>
    <row r="1430" spans="1:12">
      <c r="A1430" s="565">
        <v>1425</v>
      </c>
      <c r="B1430" s="560" t="s">
        <v>278</v>
      </c>
      <c r="C1430" s="560" t="s">
        <v>526</v>
      </c>
      <c r="D1430" s="560" t="s">
        <v>291</v>
      </c>
      <c r="E1430" s="560">
        <v>142</v>
      </c>
      <c r="F1430" s="560">
        <v>4</v>
      </c>
      <c r="G1430" s="560" t="s">
        <v>286</v>
      </c>
      <c r="H1430" s="566">
        <v>3.9831697054698458</v>
      </c>
      <c r="I1430" s="567" t="s">
        <v>464</v>
      </c>
      <c r="J1430" s="568" t="s">
        <v>288</v>
      </c>
      <c r="L1430" s="373">
        <v>1</v>
      </c>
    </row>
    <row r="1431" spans="1:12">
      <c r="A1431" s="565">
        <v>1426</v>
      </c>
      <c r="B1431" s="560" t="s">
        <v>278</v>
      </c>
      <c r="C1431" s="560" t="s">
        <v>526</v>
      </c>
      <c r="D1431" s="560" t="s">
        <v>292</v>
      </c>
      <c r="E1431" s="560">
        <v>156</v>
      </c>
      <c r="F1431" s="560">
        <v>5</v>
      </c>
      <c r="G1431" s="560" t="s">
        <v>286</v>
      </c>
      <c r="H1431" s="566">
        <v>4.3758765778401125</v>
      </c>
      <c r="I1431" s="567" t="s">
        <v>288</v>
      </c>
      <c r="J1431" s="568" t="s">
        <v>288</v>
      </c>
      <c r="L1431" s="373">
        <v>1</v>
      </c>
    </row>
    <row r="1432" spans="1:12" ht="21">
      <c r="A1432" s="565">
        <v>1427</v>
      </c>
      <c r="B1432" s="560" t="s">
        <v>278</v>
      </c>
      <c r="C1432" s="560" t="s">
        <v>526</v>
      </c>
      <c r="D1432" s="560" t="s">
        <v>291</v>
      </c>
      <c r="E1432" s="560">
        <v>168</v>
      </c>
      <c r="F1432" s="560">
        <v>7</v>
      </c>
      <c r="G1432" s="560" t="s">
        <v>286</v>
      </c>
      <c r="H1432" s="566">
        <v>4.7124824684431976</v>
      </c>
      <c r="I1432" s="567" t="s">
        <v>464</v>
      </c>
      <c r="J1432" s="568" t="s">
        <v>506</v>
      </c>
      <c r="L1432" s="373">
        <v>1</v>
      </c>
    </row>
    <row r="1433" spans="1:12">
      <c r="A1433" s="565">
        <v>1428</v>
      </c>
      <c r="B1433" s="560" t="s">
        <v>278</v>
      </c>
      <c r="C1433" s="560" t="s">
        <v>526</v>
      </c>
      <c r="D1433" s="560" t="s">
        <v>292</v>
      </c>
      <c r="E1433" s="560">
        <v>157</v>
      </c>
      <c r="F1433" s="560">
        <v>6</v>
      </c>
      <c r="G1433" s="560" t="s">
        <v>286</v>
      </c>
      <c r="H1433" s="566">
        <v>4.4039270687237027</v>
      </c>
      <c r="I1433" s="567" t="s">
        <v>464</v>
      </c>
      <c r="J1433" s="568" t="s">
        <v>288</v>
      </c>
      <c r="L1433" s="373">
        <v>1</v>
      </c>
    </row>
    <row r="1434" spans="1:12">
      <c r="A1434" s="565">
        <v>1429</v>
      </c>
      <c r="B1434" s="560" t="s">
        <v>278</v>
      </c>
      <c r="C1434" s="560" t="s">
        <v>526</v>
      </c>
      <c r="D1434" s="560" t="s">
        <v>291</v>
      </c>
      <c r="E1434" s="560">
        <v>152</v>
      </c>
      <c r="F1434" s="560">
        <v>5</v>
      </c>
      <c r="G1434" s="560" t="s">
        <v>286</v>
      </c>
      <c r="H1434" s="566">
        <v>4.2636746143057502</v>
      </c>
      <c r="I1434" s="567" t="s">
        <v>499</v>
      </c>
      <c r="J1434" s="568" t="s">
        <v>288</v>
      </c>
      <c r="L1434" s="373">
        <v>1</v>
      </c>
    </row>
    <row r="1435" spans="1:12">
      <c r="A1435" s="565">
        <v>1430</v>
      </c>
      <c r="B1435" s="560" t="s">
        <v>278</v>
      </c>
      <c r="C1435" s="560" t="s">
        <v>526</v>
      </c>
      <c r="D1435" s="560" t="s">
        <v>292</v>
      </c>
      <c r="E1435" s="560">
        <v>141</v>
      </c>
      <c r="F1435" s="560">
        <v>4</v>
      </c>
      <c r="G1435" s="560" t="s">
        <v>286</v>
      </c>
      <c r="H1435" s="566">
        <v>3.9551192145862553</v>
      </c>
      <c r="I1435" s="567" t="s">
        <v>464</v>
      </c>
      <c r="J1435" s="568" t="s">
        <v>288</v>
      </c>
      <c r="L1435" s="373">
        <v>1</v>
      </c>
    </row>
    <row r="1436" spans="1:12">
      <c r="A1436" s="565">
        <v>1431</v>
      </c>
      <c r="B1436" s="560" t="s">
        <v>278</v>
      </c>
      <c r="C1436" s="560" t="s">
        <v>526</v>
      </c>
      <c r="D1436" s="560" t="s">
        <v>292</v>
      </c>
      <c r="E1436" s="560">
        <v>138</v>
      </c>
      <c r="F1436" s="560">
        <v>3</v>
      </c>
      <c r="G1436" s="560" t="s">
        <v>286</v>
      </c>
      <c r="H1436" s="566">
        <v>3.870967741935484</v>
      </c>
      <c r="I1436" s="567" t="s">
        <v>464</v>
      </c>
      <c r="J1436" s="568" t="s">
        <v>288</v>
      </c>
      <c r="L1436" s="373">
        <v>1</v>
      </c>
    </row>
    <row r="1437" spans="1:12">
      <c r="A1437" s="565">
        <v>1432</v>
      </c>
      <c r="B1437" s="560" t="s">
        <v>278</v>
      </c>
      <c r="C1437" s="560" t="s">
        <v>526</v>
      </c>
      <c r="D1437" s="560" t="s">
        <v>292</v>
      </c>
      <c r="E1437" s="560">
        <v>147</v>
      </c>
      <c r="F1437" s="560">
        <v>5</v>
      </c>
      <c r="G1437" s="560" t="s">
        <v>286</v>
      </c>
      <c r="H1437" s="566">
        <v>4.1234221598877978</v>
      </c>
      <c r="I1437" s="567" t="s">
        <v>288</v>
      </c>
      <c r="J1437" s="568" t="s">
        <v>288</v>
      </c>
      <c r="L1437" s="373">
        <v>1</v>
      </c>
    </row>
    <row r="1438" spans="1:12">
      <c r="A1438" s="565">
        <v>1433</v>
      </c>
      <c r="B1438" s="560" t="s">
        <v>278</v>
      </c>
      <c r="C1438" s="560" t="s">
        <v>526</v>
      </c>
      <c r="D1438" s="560" t="s">
        <v>291</v>
      </c>
      <c r="E1438" s="560">
        <v>110</v>
      </c>
      <c r="F1438" s="560">
        <v>2</v>
      </c>
      <c r="G1438" s="560" t="s">
        <v>286</v>
      </c>
      <c r="H1438" s="566">
        <v>3.085553997194951</v>
      </c>
      <c r="I1438" s="567" t="s">
        <v>464</v>
      </c>
      <c r="J1438" s="568" t="s">
        <v>288</v>
      </c>
      <c r="L1438" s="373">
        <v>1</v>
      </c>
    </row>
    <row r="1439" spans="1:12">
      <c r="A1439" s="565">
        <v>1434</v>
      </c>
      <c r="B1439" s="560" t="s">
        <v>278</v>
      </c>
      <c r="C1439" s="560" t="s">
        <v>526</v>
      </c>
      <c r="D1439" s="560" t="s">
        <v>292</v>
      </c>
      <c r="E1439" s="560">
        <v>97</v>
      </c>
      <c r="F1439" s="560">
        <v>3</v>
      </c>
      <c r="G1439" s="560" t="s">
        <v>286</v>
      </c>
      <c r="H1439" s="566">
        <v>2.7208976157082749</v>
      </c>
      <c r="I1439" s="567" t="s">
        <v>288</v>
      </c>
      <c r="J1439" s="568" t="s">
        <v>288</v>
      </c>
      <c r="L1439" s="373">
        <v>1</v>
      </c>
    </row>
    <row r="1440" spans="1:12">
      <c r="A1440" s="565">
        <v>1435</v>
      </c>
      <c r="B1440" s="560" t="s">
        <v>278</v>
      </c>
      <c r="C1440" s="560" t="s">
        <v>526</v>
      </c>
      <c r="D1440" s="560" t="s">
        <v>291</v>
      </c>
      <c r="E1440" s="560">
        <v>152</v>
      </c>
      <c r="F1440" s="560">
        <v>4</v>
      </c>
      <c r="G1440" s="560" t="s">
        <v>286</v>
      </c>
      <c r="H1440" s="566">
        <v>4.2636746143057502</v>
      </c>
      <c r="I1440" s="567" t="s">
        <v>464</v>
      </c>
      <c r="J1440" s="568" t="s">
        <v>288</v>
      </c>
      <c r="L1440" s="373">
        <v>1</v>
      </c>
    </row>
    <row r="1441" spans="1:12">
      <c r="A1441" s="565">
        <v>1436</v>
      </c>
      <c r="B1441" s="560" t="s">
        <v>278</v>
      </c>
      <c r="C1441" s="560" t="s">
        <v>526</v>
      </c>
      <c r="D1441" s="560" t="s">
        <v>292</v>
      </c>
      <c r="E1441" s="560">
        <v>148</v>
      </c>
      <c r="F1441" s="560">
        <v>5</v>
      </c>
      <c r="G1441" s="560" t="s">
        <v>286</v>
      </c>
      <c r="H1441" s="566">
        <v>4.1514726507713888</v>
      </c>
      <c r="I1441" s="567" t="s">
        <v>288</v>
      </c>
      <c r="J1441" s="568" t="s">
        <v>288</v>
      </c>
      <c r="L1441" s="373">
        <v>1</v>
      </c>
    </row>
    <row r="1442" spans="1:12">
      <c r="A1442" s="565">
        <v>1437</v>
      </c>
      <c r="B1442" s="560" t="s">
        <v>278</v>
      </c>
      <c r="C1442" s="560" t="s">
        <v>526</v>
      </c>
      <c r="D1442" s="560" t="s">
        <v>292</v>
      </c>
      <c r="E1442" s="560">
        <v>115</v>
      </c>
      <c r="F1442" s="560">
        <v>3</v>
      </c>
      <c r="G1442" s="560" t="s">
        <v>286</v>
      </c>
      <c r="H1442" s="566">
        <v>3.2258064516129035</v>
      </c>
      <c r="I1442" s="567" t="s">
        <v>288</v>
      </c>
      <c r="J1442" s="568" t="s">
        <v>288</v>
      </c>
      <c r="L1442" s="373">
        <v>1</v>
      </c>
    </row>
    <row r="1443" spans="1:12">
      <c r="A1443" s="565">
        <v>1438</v>
      </c>
      <c r="B1443" s="560" t="s">
        <v>278</v>
      </c>
      <c r="C1443" s="560" t="s">
        <v>526</v>
      </c>
      <c r="D1443" s="560" t="s">
        <v>292</v>
      </c>
      <c r="E1443" s="560">
        <v>116</v>
      </c>
      <c r="F1443" s="560">
        <v>2</v>
      </c>
      <c r="G1443" s="560" t="s">
        <v>286</v>
      </c>
      <c r="H1443" s="566">
        <v>3.2538569424964936</v>
      </c>
      <c r="I1443" s="567" t="s">
        <v>288</v>
      </c>
      <c r="J1443" s="568" t="s">
        <v>288</v>
      </c>
      <c r="L1443" s="373">
        <v>1</v>
      </c>
    </row>
    <row r="1444" spans="1:12" ht="21">
      <c r="A1444" s="565">
        <v>1439</v>
      </c>
      <c r="B1444" s="560" t="s">
        <v>278</v>
      </c>
      <c r="C1444" s="560" t="s">
        <v>526</v>
      </c>
      <c r="D1444" s="560" t="s">
        <v>291</v>
      </c>
      <c r="E1444" s="560">
        <v>127</v>
      </c>
      <c r="F1444" s="560">
        <v>4</v>
      </c>
      <c r="G1444" s="560" t="s">
        <v>286</v>
      </c>
      <c r="H1444" s="566">
        <v>3.562412342215989</v>
      </c>
      <c r="I1444" s="567" t="s">
        <v>489</v>
      </c>
      <c r="J1444" s="568" t="s">
        <v>288</v>
      </c>
      <c r="L1444" s="373">
        <v>1</v>
      </c>
    </row>
    <row r="1445" spans="1:12">
      <c r="A1445" s="565">
        <v>1440</v>
      </c>
      <c r="B1445" s="560" t="s">
        <v>278</v>
      </c>
      <c r="C1445" s="560" t="s">
        <v>526</v>
      </c>
      <c r="D1445" s="560" t="s">
        <v>292</v>
      </c>
      <c r="E1445" s="560">
        <v>132</v>
      </c>
      <c r="F1445" s="560">
        <v>3</v>
      </c>
      <c r="G1445" s="560" t="s">
        <v>286</v>
      </c>
      <c r="H1445" s="566">
        <v>3.7026647966339414</v>
      </c>
      <c r="I1445" s="567" t="s">
        <v>288</v>
      </c>
      <c r="J1445" s="568" t="s">
        <v>288</v>
      </c>
      <c r="L1445" s="373">
        <v>1</v>
      </c>
    </row>
    <row r="1446" spans="1:12">
      <c r="A1446" s="565">
        <v>1441</v>
      </c>
      <c r="B1446" s="560" t="s">
        <v>278</v>
      </c>
      <c r="C1446" s="560" t="s">
        <v>526</v>
      </c>
      <c r="D1446" s="560" t="s">
        <v>290</v>
      </c>
      <c r="E1446" s="560">
        <v>119</v>
      </c>
      <c r="F1446" s="560">
        <v>2</v>
      </c>
      <c r="G1446" s="560" t="s">
        <v>286</v>
      </c>
      <c r="H1446" s="566">
        <v>3.3380084151472653</v>
      </c>
      <c r="I1446" s="567" t="s">
        <v>288</v>
      </c>
      <c r="J1446" s="568" t="s">
        <v>288</v>
      </c>
      <c r="L1446" s="373">
        <v>1</v>
      </c>
    </row>
    <row r="1447" spans="1:12">
      <c r="A1447" s="565">
        <v>1442</v>
      </c>
      <c r="B1447" s="560" t="s">
        <v>278</v>
      </c>
      <c r="C1447" s="560" t="s">
        <v>526</v>
      </c>
      <c r="D1447" s="560" t="s">
        <v>291</v>
      </c>
      <c r="E1447" s="560">
        <v>148</v>
      </c>
      <c r="F1447" s="560">
        <v>3</v>
      </c>
      <c r="G1447" s="560" t="s">
        <v>286</v>
      </c>
      <c r="H1447" s="566">
        <v>4.1514726507713888</v>
      </c>
      <c r="I1447" s="567" t="s">
        <v>499</v>
      </c>
      <c r="J1447" s="568" t="s">
        <v>288</v>
      </c>
      <c r="L1447" s="373">
        <v>1</v>
      </c>
    </row>
    <row r="1448" spans="1:12">
      <c r="A1448" s="565">
        <v>1443</v>
      </c>
      <c r="B1448" s="560" t="s">
        <v>278</v>
      </c>
      <c r="C1448" s="560" t="s">
        <v>526</v>
      </c>
      <c r="D1448" s="560" t="s">
        <v>291</v>
      </c>
      <c r="E1448" s="560">
        <v>157</v>
      </c>
      <c r="F1448" s="560">
        <v>5</v>
      </c>
      <c r="G1448" s="560" t="s">
        <v>286</v>
      </c>
      <c r="H1448" s="566">
        <v>4.4039270687237027</v>
      </c>
      <c r="I1448" s="567" t="s">
        <v>288</v>
      </c>
      <c r="J1448" s="568" t="s">
        <v>288</v>
      </c>
      <c r="L1448" s="373">
        <v>1</v>
      </c>
    </row>
    <row r="1449" spans="1:12" ht="21">
      <c r="A1449" s="565">
        <v>1444</v>
      </c>
      <c r="B1449" s="560" t="s">
        <v>278</v>
      </c>
      <c r="C1449" s="560" t="s">
        <v>526</v>
      </c>
      <c r="D1449" s="560" t="s">
        <v>291</v>
      </c>
      <c r="E1449" s="560">
        <v>139</v>
      </c>
      <c r="F1449" s="560">
        <v>4</v>
      </c>
      <c r="G1449" s="560" t="s">
        <v>286</v>
      </c>
      <c r="H1449" s="566">
        <v>3.8990182328190746</v>
      </c>
      <c r="I1449" s="567" t="s">
        <v>489</v>
      </c>
      <c r="J1449" s="568" t="s">
        <v>288</v>
      </c>
      <c r="L1449" s="373">
        <v>1</v>
      </c>
    </row>
    <row r="1450" spans="1:12">
      <c r="A1450" s="565">
        <v>1445</v>
      </c>
      <c r="B1450" s="560" t="s">
        <v>278</v>
      </c>
      <c r="C1450" s="560" t="s">
        <v>526</v>
      </c>
      <c r="D1450" s="560" t="s">
        <v>291</v>
      </c>
      <c r="E1450" s="560">
        <v>140</v>
      </c>
      <c r="F1450" s="560">
        <v>3</v>
      </c>
      <c r="G1450" s="560" t="s">
        <v>286</v>
      </c>
      <c r="H1450" s="566">
        <v>3.9270687237026651</v>
      </c>
      <c r="I1450" s="567" t="s">
        <v>464</v>
      </c>
      <c r="J1450" s="568" t="s">
        <v>288</v>
      </c>
      <c r="L1450" s="373">
        <v>1</v>
      </c>
    </row>
    <row r="1451" spans="1:12">
      <c r="A1451" s="565">
        <v>1446</v>
      </c>
      <c r="B1451" s="560" t="s">
        <v>278</v>
      </c>
      <c r="C1451" s="560" t="s">
        <v>526</v>
      </c>
      <c r="D1451" s="560" t="s">
        <v>290</v>
      </c>
      <c r="E1451" s="560">
        <v>97</v>
      </c>
      <c r="F1451" s="560">
        <v>2</v>
      </c>
      <c r="G1451" s="560" t="s">
        <v>286</v>
      </c>
      <c r="H1451" s="566">
        <v>2.7208976157082749</v>
      </c>
      <c r="I1451" s="567" t="s">
        <v>288</v>
      </c>
      <c r="J1451" s="568" t="s">
        <v>288</v>
      </c>
      <c r="L1451" s="373">
        <v>1</v>
      </c>
    </row>
    <row r="1452" spans="1:12">
      <c r="A1452" s="565">
        <v>1447</v>
      </c>
      <c r="B1452" s="560" t="s">
        <v>278</v>
      </c>
      <c r="C1452" s="560" t="s">
        <v>526</v>
      </c>
      <c r="D1452" s="560" t="s">
        <v>291</v>
      </c>
      <c r="E1452" s="560">
        <v>111</v>
      </c>
      <c r="F1452" s="560">
        <v>4</v>
      </c>
      <c r="G1452" s="560" t="s">
        <v>286</v>
      </c>
      <c r="H1452" s="566">
        <v>3.1136044880785416</v>
      </c>
      <c r="I1452" s="567" t="s">
        <v>464</v>
      </c>
      <c r="J1452" s="568" t="s">
        <v>288</v>
      </c>
      <c r="L1452" s="373">
        <v>1</v>
      </c>
    </row>
    <row r="1453" spans="1:12" ht="21">
      <c r="A1453" s="565">
        <v>1448</v>
      </c>
      <c r="B1453" s="560" t="s">
        <v>278</v>
      </c>
      <c r="C1453" s="560" t="s">
        <v>526</v>
      </c>
      <c r="D1453" s="560" t="s">
        <v>292</v>
      </c>
      <c r="E1453" s="560">
        <v>147</v>
      </c>
      <c r="F1453" s="560">
        <v>3</v>
      </c>
      <c r="G1453" s="560" t="s">
        <v>286</v>
      </c>
      <c r="H1453" s="566">
        <v>4.1234221598877978</v>
      </c>
      <c r="I1453" s="567" t="s">
        <v>464</v>
      </c>
      <c r="J1453" s="568" t="s">
        <v>506</v>
      </c>
      <c r="L1453" s="373">
        <v>1</v>
      </c>
    </row>
    <row r="1454" spans="1:12">
      <c r="A1454" s="565">
        <v>1449</v>
      </c>
      <c r="B1454" s="560" t="s">
        <v>278</v>
      </c>
      <c r="C1454" s="560" t="s">
        <v>526</v>
      </c>
      <c r="D1454" s="560" t="s">
        <v>290</v>
      </c>
      <c r="E1454" s="560">
        <v>110</v>
      </c>
      <c r="F1454" s="560">
        <v>2</v>
      </c>
      <c r="G1454" s="560" t="s">
        <v>286</v>
      </c>
      <c r="H1454" s="566">
        <v>3.085553997194951</v>
      </c>
      <c r="I1454" s="567" t="s">
        <v>288</v>
      </c>
      <c r="J1454" s="568" t="s">
        <v>288</v>
      </c>
      <c r="L1454" s="373">
        <v>1</v>
      </c>
    </row>
    <row r="1455" spans="1:12">
      <c r="A1455" s="565">
        <v>1450</v>
      </c>
      <c r="B1455" s="560" t="s">
        <v>278</v>
      </c>
      <c r="C1455" s="560" t="s">
        <v>526</v>
      </c>
      <c r="D1455" s="560" t="s">
        <v>291</v>
      </c>
      <c r="E1455" s="560">
        <v>143</v>
      </c>
      <c r="F1455" s="560">
        <v>3</v>
      </c>
      <c r="G1455" s="560" t="s">
        <v>286</v>
      </c>
      <c r="H1455" s="566">
        <v>4.0112201963534364</v>
      </c>
      <c r="I1455" s="567" t="s">
        <v>499</v>
      </c>
      <c r="J1455" s="568" t="s">
        <v>288</v>
      </c>
      <c r="L1455" s="373">
        <v>1</v>
      </c>
    </row>
    <row r="1456" spans="1:12" ht="21">
      <c r="A1456" s="565">
        <v>1451</v>
      </c>
      <c r="B1456" s="560" t="s">
        <v>278</v>
      </c>
      <c r="C1456" s="560" t="s">
        <v>531</v>
      </c>
      <c r="D1456" s="560" t="s">
        <v>293</v>
      </c>
      <c r="E1456" s="560">
        <v>136</v>
      </c>
      <c r="F1456" s="560">
        <v>4</v>
      </c>
      <c r="G1456" s="560" t="s">
        <v>286</v>
      </c>
      <c r="H1456" s="566">
        <v>3.8148667601683033</v>
      </c>
      <c r="I1456" s="567" t="s">
        <v>489</v>
      </c>
      <c r="J1456" s="568" t="s">
        <v>474</v>
      </c>
      <c r="L1456" s="373">
        <v>1</v>
      </c>
    </row>
    <row r="1457" spans="1:12" ht="21">
      <c r="A1457" s="565">
        <v>1452</v>
      </c>
      <c r="B1457" s="560" t="s">
        <v>278</v>
      </c>
      <c r="C1457" s="560" t="s">
        <v>531</v>
      </c>
      <c r="D1457" s="560" t="s">
        <v>291</v>
      </c>
      <c r="E1457" s="560">
        <v>162</v>
      </c>
      <c r="F1457" s="560">
        <v>5</v>
      </c>
      <c r="G1457" s="560" t="s">
        <v>286</v>
      </c>
      <c r="H1457" s="566">
        <v>4.5441795231416551</v>
      </c>
      <c r="I1457" s="567" t="s">
        <v>489</v>
      </c>
      <c r="J1457" s="568" t="s">
        <v>288</v>
      </c>
      <c r="L1457" s="373">
        <v>1</v>
      </c>
    </row>
    <row r="1458" spans="1:12">
      <c r="A1458" s="565">
        <v>1453</v>
      </c>
      <c r="B1458" s="560" t="s">
        <v>278</v>
      </c>
      <c r="C1458" s="560" t="s">
        <v>531</v>
      </c>
      <c r="D1458" s="560" t="s">
        <v>292</v>
      </c>
      <c r="E1458" s="560">
        <v>112</v>
      </c>
      <c r="F1458" s="560">
        <v>2</v>
      </c>
      <c r="G1458" s="560" t="s">
        <v>286</v>
      </c>
      <c r="H1458" s="566">
        <v>3.1416549789621318</v>
      </c>
      <c r="I1458" s="567" t="s">
        <v>288</v>
      </c>
      <c r="J1458" s="568" t="s">
        <v>288</v>
      </c>
      <c r="L1458" s="373">
        <v>1</v>
      </c>
    </row>
    <row r="1459" spans="1:12">
      <c r="A1459" s="565">
        <v>1454</v>
      </c>
      <c r="B1459" s="560" t="s">
        <v>278</v>
      </c>
      <c r="C1459" s="560" t="s">
        <v>531</v>
      </c>
      <c r="D1459" s="560" t="s">
        <v>291</v>
      </c>
      <c r="E1459" s="560">
        <v>143</v>
      </c>
      <c r="F1459" s="560">
        <v>3</v>
      </c>
      <c r="G1459" s="560" t="s">
        <v>286</v>
      </c>
      <c r="H1459" s="566">
        <v>4.0112201963534364</v>
      </c>
      <c r="I1459" s="567" t="s">
        <v>464</v>
      </c>
      <c r="J1459" s="568" t="s">
        <v>288</v>
      </c>
      <c r="L1459" s="373">
        <v>1</v>
      </c>
    </row>
    <row r="1460" spans="1:12">
      <c r="A1460" s="565">
        <v>1455</v>
      </c>
      <c r="B1460" s="560" t="s">
        <v>278</v>
      </c>
      <c r="C1460" s="560" t="s">
        <v>531</v>
      </c>
      <c r="D1460" s="560" t="s">
        <v>291</v>
      </c>
      <c r="E1460" s="560">
        <v>158</v>
      </c>
      <c r="F1460" s="560">
        <v>5</v>
      </c>
      <c r="G1460" s="560" t="s">
        <v>286</v>
      </c>
      <c r="H1460" s="566">
        <v>4.4319775596072937</v>
      </c>
      <c r="I1460" s="567" t="s">
        <v>499</v>
      </c>
      <c r="J1460" s="568" t="s">
        <v>288</v>
      </c>
      <c r="L1460" s="373">
        <v>1</v>
      </c>
    </row>
    <row r="1461" spans="1:12">
      <c r="A1461" s="565">
        <v>1456</v>
      </c>
      <c r="B1461" s="560" t="s">
        <v>278</v>
      </c>
      <c r="C1461" s="560" t="s">
        <v>531</v>
      </c>
      <c r="D1461" s="560" t="s">
        <v>292</v>
      </c>
      <c r="E1461" s="560">
        <v>115</v>
      </c>
      <c r="F1461" s="560">
        <v>3</v>
      </c>
      <c r="G1461" s="560" t="s">
        <v>286</v>
      </c>
      <c r="H1461" s="566">
        <v>3.2258064516129035</v>
      </c>
      <c r="I1461" s="567" t="s">
        <v>464</v>
      </c>
      <c r="J1461" s="568" t="s">
        <v>288</v>
      </c>
      <c r="L1461" s="373">
        <v>1</v>
      </c>
    </row>
    <row r="1462" spans="1:12">
      <c r="A1462" s="565">
        <v>1457</v>
      </c>
      <c r="B1462" s="560" t="s">
        <v>278</v>
      </c>
      <c r="C1462" s="560" t="s">
        <v>531</v>
      </c>
      <c r="D1462" s="560" t="s">
        <v>291</v>
      </c>
      <c r="E1462" s="560">
        <v>133</v>
      </c>
      <c r="F1462" s="560">
        <v>3</v>
      </c>
      <c r="G1462" s="560" t="s">
        <v>286</v>
      </c>
      <c r="H1462" s="566">
        <v>3.7307152875175316</v>
      </c>
      <c r="I1462" s="567" t="s">
        <v>288</v>
      </c>
      <c r="J1462" s="568" t="s">
        <v>288</v>
      </c>
      <c r="L1462" s="373">
        <v>1</v>
      </c>
    </row>
    <row r="1463" spans="1:12">
      <c r="A1463" s="565">
        <v>1458</v>
      </c>
      <c r="B1463" s="560" t="s">
        <v>278</v>
      </c>
      <c r="C1463" s="560" t="s">
        <v>510</v>
      </c>
      <c r="D1463" s="560" t="s">
        <v>291</v>
      </c>
      <c r="E1463" s="560">
        <v>142</v>
      </c>
      <c r="F1463" s="560">
        <v>4</v>
      </c>
      <c r="G1463" s="560" t="s">
        <v>34</v>
      </c>
      <c r="H1463" s="566">
        <v>1820.5128205128206</v>
      </c>
      <c r="I1463" s="567" t="s">
        <v>464</v>
      </c>
      <c r="J1463" s="568" t="s">
        <v>288</v>
      </c>
      <c r="L1463" s="373">
        <v>1</v>
      </c>
    </row>
    <row r="1464" spans="1:12">
      <c r="A1464" s="565">
        <v>1459</v>
      </c>
      <c r="B1464" s="560" t="s">
        <v>278</v>
      </c>
      <c r="C1464" s="560" t="s">
        <v>510</v>
      </c>
      <c r="D1464" s="560" t="s">
        <v>292</v>
      </c>
      <c r="E1464" s="560">
        <v>156</v>
      </c>
      <c r="F1464" s="560">
        <v>5</v>
      </c>
      <c r="G1464" s="560" t="s">
        <v>34</v>
      </c>
      <c r="H1464" s="566">
        <v>2000</v>
      </c>
      <c r="I1464" s="567" t="s">
        <v>288</v>
      </c>
      <c r="J1464" s="568" t="s">
        <v>288</v>
      </c>
      <c r="L1464" s="373">
        <v>1</v>
      </c>
    </row>
    <row r="1465" spans="1:12" ht="21">
      <c r="A1465" s="565">
        <v>1460</v>
      </c>
      <c r="B1465" s="560" t="s">
        <v>278</v>
      </c>
      <c r="C1465" s="560" t="s">
        <v>510</v>
      </c>
      <c r="D1465" s="560" t="s">
        <v>291</v>
      </c>
      <c r="E1465" s="560">
        <v>168</v>
      </c>
      <c r="F1465" s="560">
        <v>7</v>
      </c>
      <c r="G1465" s="560" t="s">
        <v>34</v>
      </c>
      <c r="H1465" s="566">
        <v>2153.8461538461538</v>
      </c>
      <c r="I1465" s="567" t="s">
        <v>464</v>
      </c>
      <c r="J1465" s="568" t="s">
        <v>506</v>
      </c>
      <c r="L1465" s="373">
        <v>1</v>
      </c>
    </row>
    <row r="1466" spans="1:12">
      <c r="A1466" s="565">
        <v>1461</v>
      </c>
      <c r="B1466" s="560" t="s">
        <v>278</v>
      </c>
      <c r="C1466" s="560" t="s">
        <v>510</v>
      </c>
      <c r="D1466" s="560" t="s">
        <v>292</v>
      </c>
      <c r="E1466" s="560">
        <v>157</v>
      </c>
      <c r="F1466" s="560">
        <v>6</v>
      </c>
      <c r="G1466" s="560" t="s">
        <v>34</v>
      </c>
      <c r="H1466" s="566">
        <v>2012.8205128205129</v>
      </c>
      <c r="I1466" s="567" t="s">
        <v>464</v>
      </c>
      <c r="J1466" s="568" t="s">
        <v>288</v>
      </c>
      <c r="L1466" s="373">
        <v>1</v>
      </c>
    </row>
    <row r="1467" spans="1:12">
      <c r="A1467" s="565">
        <v>1462</v>
      </c>
      <c r="B1467" s="560" t="s">
        <v>278</v>
      </c>
      <c r="C1467" s="560" t="s">
        <v>510</v>
      </c>
      <c r="D1467" s="560" t="s">
        <v>291</v>
      </c>
      <c r="E1467" s="560">
        <v>152</v>
      </c>
      <c r="F1467" s="560">
        <v>5</v>
      </c>
      <c r="G1467" s="560" t="s">
        <v>34</v>
      </c>
      <c r="H1467" s="566">
        <v>1948.7179487179487</v>
      </c>
      <c r="I1467" s="567" t="s">
        <v>499</v>
      </c>
      <c r="J1467" s="568" t="s">
        <v>288</v>
      </c>
      <c r="L1467" s="373">
        <v>1</v>
      </c>
    </row>
    <row r="1468" spans="1:12">
      <c r="A1468" s="565">
        <v>1463</v>
      </c>
      <c r="B1468" s="560" t="s">
        <v>278</v>
      </c>
      <c r="C1468" s="560" t="s">
        <v>510</v>
      </c>
      <c r="D1468" s="560" t="s">
        <v>292</v>
      </c>
      <c r="E1468" s="560">
        <v>141</v>
      </c>
      <c r="F1468" s="560">
        <v>4</v>
      </c>
      <c r="G1468" s="560" t="s">
        <v>34</v>
      </c>
      <c r="H1468" s="566">
        <v>1807.6923076923076</v>
      </c>
      <c r="I1468" s="567" t="s">
        <v>464</v>
      </c>
      <c r="J1468" s="568" t="s">
        <v>288</v>
      </c>
      <c r="L1468" s="373">
        <v>1</v>
      </c>
    </row>
    <row r="1469" spans="1:12">
      <c r="A1469" s="565">
        <v>1464</v>
      </c>
      <c r="B1469" s="560" t="s">
        <v>278</v>
      </c>
      <c r="C1469" s="560" t="s">
        <v>510</v>
      </c>
      <c r="D1469" s="560" t="s">
        <v>292</v>
      </c>
      <c r="E1469" s="560">
        <v>138</v>
      </c>
      <c r="F1469" s="560">
        <v>3</v>
      </c>
      <c r="G1469" s="560" t="s">
        <v>34</v>
      </c>
      <c r="H1469" s="566">
        <v>1769.2307692307693</v>
      </c>
      <c r="I1469" s="567" t="s">
        <v>464</v>
      </c>
      <c r="J1469" s="568" t="s">
        <v>288</v>
      </c>
      <c r="L1469" s="373">
        <v>1</v>
      </c>
    </row>
    <row r="1470" spans="1:12">
      <c r="A1470" s="565">
        <v>1465</v>
      </c>
      <c r="B1470" s="560" t="s">
        <v>278</v>
      </c>
      <c r="C1470" s="560" t="s">
        <v>510</v>
      </c>
      <c r="D1470" s="560" t="s">
        <v>292</v>
      </c>
      <c r="E1470" s="560">
        <v>147</v>
      </c>
      <c r="F1470" s="560">
        <v>5</v>
      </c>
      <c r="G1470" s="560" t="s">
        <v>34</v>
      </c>
      <c r="H1470" s="566">
        <v>1884.6153846153845</v>
      </c>
      <c r="I1470" s="567" t="s">
        <v>288</v>
      </c>
      <c r="J1470" s="568" t="s">
        <v>288</v>
      </c>
      <c r="L1470" s="373">
        <v>1</v>
      </c>
    </row>
    <row r="1471" spans="1:12">
      <c r="A1471" s="565">
        <v>1466</v>
      </c>
      <c r="B1471" s="560" t="s">
        <v>278</v>
      </c>
      <c r="C1471" s="560" t="s">
        <v>510</v>
      </c>
      <c r="D1471" s="560" t="s">
        <v>291</v>
      </c>
      <c r="E1471" s="560">
        <v>110</v>
      </c>
      <c r="F1471" s="560">
        <v>2</v>
      </c>
      <c r="G1471" s="560" t="s">
        <v>34</v>
      </c>
      <c r="H1471" s="566">
        <v>1410.2564102564102</v>
      </c>
      <c r="I1471" s="567" t="s">
        <v>464</v>
      </c>
      <c r="J1471" s="568" t="s">
        <v>288</v>
      </c>
      <c r="L1471" s="373">
        <v>1</v>
      </c>
    </row>
    <row r="1472" spans="1:12">
      <c r="A1472" s="565">
        <v>1467</v>
      </c>
      <c r="B1472" s="560" t="s">
        <v>278</v>
      </c>
      <c r="C1472" s="560" t="s">
        <v>510</v>
      </c>
      <c r="D1472" s="560" t="s">
        <v>292</v>
      </c>
      <c r="E1472" s="560">
        <v>97</v>
      </c>
      <c r="F1472" s="560">
        <v>3</v>
      </c>
      <c r="G1472" s="560" t="s">
        <v>34</v>
      </c>
      <c r="H1472" s="566">
        <v>1243.5897435897436</v>
      </c>
      <c r="I1472" s="567" t="s">
        <v>288</v>
      </c>
      <c r="J1472" s="568" t="s">
        <v>288</v>
      </c>
      <c r="L1472" s="373">
        <v>1</v>
      </c>
    </row>
    <row r="1473" spans="1:12">
      <c r="A1473" s="565">
        <v>1468</v>
      </c>
      <c r="B1473" s="560" t="s">
        <v>278</v>
      </c>
      <c r="C1473" s="560" t="s">
        <v>510</v>
      </c>
      <c r="D1473" s="560" t="s">
        <v>291</v>
      </c>
      <c r="E1473" s="560">
        <v>152</v>
      </c>
      <c r="F1473" s="560">
        <v>4</v>
      </c>
      <c r="G1473" s="560" t="s">
        <v>34</v>
      </c>
      <c r="H1473" s="566">
        <v>1948.7179487179487</v>
      </c>
      <c r="I1473" s="567" t="s">
        <v>464</v>
      </c>
      <c r="J1473" s="568" t="s">
        <v>288</v>
      </c>
      <c r="L1473" s="373">
        <v>1</v>
      </c>
    </row>
    <row r="1474" spans="1:12">
      <c r="A1474" s="565">
        <v>1469</v>
      </c>
      <c r="B1474" s="560" t="s">
        <v>278</v>
      </c>
      <c r="C1474" s="560" t="s">
        <v>510</v>
      </c>
      <c r="D1474" s="560" t="s">
        <v>292</v>
      </c>
      <c r="E1474" s="560">
        <v>148</v>
      </c>
      <c r="F1474" s="560">
        <v>5</v>
      </c>
      <c r="G1474" s="560" t="s">
        <v>34</v>
      </c>
      <c r="H1474" s="566">
        <v>1897.4358974358975</v>
      </c>
      <c r="I1474" s="567" t="s">
        <v>288</v>
      </c>
      <c r="J1474" s="568" t="s">
        <v>288</v>
      </c>
      <c r="L1474" s="373">
        <v>1</v>
      </c>
    </row>
    <row r="1475" spans="1:12">
      <c r="A1475" s="565">
        <v>1470</v>
      </c>
      <c r="B1475" s="560" t="s">
        <v>278</v>
      </c>
      <c r="C1475" s="560" t="s">
        <v>510</v>
      </c>
      <c r="D1475" s="560" t="s">
        <v>292</v>
      </c>
      <c r="E1475" s="560">
        <v>115</v>
      </c>
      <c r="F1475" s="560">
        <v>3</v>
      </c>
      <c r="G1475" s="560" t="s">
        <v>34</v>
      </c>
      <c r="H1475" s="566">
        <v>1474.3589743589744</v>
      </c>
      <c r="I1475" s="567" t="s">
        <v>288</v>
      </c>
      <c r="J1475" s="568" t="s">
        <v>288</v>
      </c>
      <c r="L1475" s="373">
        <v>1</v>
      </c>
    </row>
    <row r="1476" spans="1:12">
      <c r="A1476" s="565">
        <v>1471</v>
      </c>
      <c r="B1476" s="560" t="s">
        <v>278</v>
      </c>
      <c r="C1476" s="560" t="s">
        <v>510</v>
      </c>
      <c r="D1476" s="560" t="s">
        <v>292</v>
      </c>
      <c r="E1476" s="560">
        <v>116</v>
      </c>
      <c r="F1476" s="560">
        <v>2</v>
      </c>
      <c r="G1476" s="560" t="s">
        <v>34</v>
      </c>
      <c r="H1476" s="566">
        <v>1487.1794871794871</v>
      </c>
      <c r="I1476" s="567" t="s">
        <v>288</v>
      </c>
      <c r="J1476" s="568" t="s">
        <v>288</v>
      </c>
      <c r="L1476" s="373">
        <v>1</v>
      </c>
    </row>
    <row r="1477" spans="1:12" ht="21">
      <c r="A1477" s="565">
        <v>1472</v>
      </c>
      <c r="B1477" s="560" t="s">
        <v>278</v>
      </c>
      <c r="C1477" s="560" t="s">
        <v>510</v>
      </c>
      <c r="D1477" s="560" t="s">
        <v>291</v>
      </c>
      <c r="E1477" s="560">
        <v>127</v>
      </c>
      <c r="F1477" s="560">
        <v>4</v>
      </c>
      <c r="G1477" s="560" t="s">
        <v>34</v>
      </c>
      <c r="H1477" s="566">
        <v>1628.2051282051282</v>
      </c>
      <c r="I1477" s="567" t="s">
        <v>489</v>
      </c>
      <c r="J1477" s="568" t="s">
        <v>288</v>
      </c>
      <c r="L1477" s="373">
        <v>1</v>
      </c>
    </row>
    <row r="1478" spans="1:12">
      <c r="A1478" s="565">
        <v>1473</v>
      </c>
      <c r="B1478" s="560" t="s">
        <v>278</v>
      </c>
      <c r="C1478" s="560" t="s">
        <v>510</v>
      </c>
      <c r="D1478" s="560" t="s">
        <v>292</v>
      </c>
      <c r="E1478" s="560">
        <v>132</v>
      </c>
      <c r="F1478" s="560">
        <v>3</v>
      </c>
      <c r="G1478" s="560" t="s">
        <v>34</v>
      </c>
      <c r="H1478" s="566">
        <v>1692.3076923076924</v>
      </c>
      <c r="I1478" s="567" t="s">
        <v>288</v>
      </c>
      <c r="J1478" s="568" t="s">
        <v>288</v>
      </c>
      <c r="L1478" s="373">
        <v>1</v>
      </c>
    </row>
    <row r="1479" spans="1:12">
      <c r="A1479" s="565">
        <v>1474</v>
      </c>
      <c r="B1479" s="560" t="s">
        <v>278</v>
      </c>
      <c r="C1479" s="560" t="s">
        <v>510</v>
      </c>
      <c r="D1479" s="560" t="s">
        <v>290</v>
      </c>
      <c r="E1479" s="560">
        <v>119</v>
      </c>
      <c r="F1479" s="560">
        <v>2</v>
      </c>
      <c r="G1479" s="560" t="s">
        <v>34</v>
      </c>
      <c r="H1479" s="566">
        <v>1525.6410256410256</v>
      </c>
      <c r="I1479" s="567" t="s">
        <v>288</v>
      </c>
      <c r="J1479" s="568" t="s">
        <v>288</v>
      </c>
      <c r="L1479" s="373">
        <v>1</v>
      </c>
    </row>
    <row r="1480" spans="1:12">
      <c r="A1480" s="565">
        <v>1475</v>
      </c>
      <c r="B1480" s="560" t="s">
        <v>278</v>
      </c>
      <c r="C1480" s="560" t="s">
        <v>510</v>
      </c>
      <c r="D1480" s="560" t="s">
        <v>291</v>
      </c>
      <c r="E1480" s="560">
        <v>148</v>
      </c>
      <c r="F1480" s="560">
        <v>3</v>
      </c>
      <c r="G1480" s="560" t="s">
        <v>34</v>
      </c>
      <c r="H1480" s="566">
        <v>1897.4358974358975</v>
      </c>
      <c r="I1480" s="567" t="s">
        <v>499</v>
      </c>
      <c r="J1480" s="568" t="s">
        <v>288</v>
      </c>
      <c r="L1480" s="373">
        <v>1</v>
      </c>
    </row>
    <row r="1481" spans="1:12">
      <c r="A1481" s="565">
        <v>1476</v>
      </c>
      <c r="B1481" s="560" t="s">
        <v>278</v>
      </c>
      <c r="C1481" s="560" t="s">
        <v>510</v>
      </c>
      <c r="D1481" s="560" t="s">
        <v>291</v>
      </c>
      <c r="E1481" s="560">
        <v>157</v>
      </c>
      <c r="F1481" s="560">
        <v>5</v>
      </c>
      <c r="G1481" s="560" t="s">
        <v>34</v>
      </c>
      <c r="H1481" s="566">
        <v>2012.8205128205129</v>
      </c>
      <c r="I1481" s="567" t="s">
        <v>288</v>
      </c>
      <c r="J1481" s="568" t="s">
        <v>288</v>
      </c>
      <c r="L1481" s="373">
        <v>1</v>
      </c>
    </row>
    <row r="1482" spans="1:12" ht="21">
      <c r="A1482" s="565">
        <v>1477</v>
      </c>
      <c r="B1482" s="560" t="s">
        <v>278</v>
      </c>
      <c r="C1482" s="560" t="s">
        <v>510</v>
      </c>
      <c r="D1482" s="560" t="s">
        <v>291</v>
      </c>
      <c r="E1482" s="560">
        <v>139</v>
      </c>
      <c r="F1482" s="560">
        <v>4</v>
      </c>
      <c r="G1482" s="560" t="s">
        <v>286</v>
      </c>
      <c r="H1482" s="566">
        <v>3.8990182328190746</v>
      </c>
      <c r="I1482" s="567" t="s">
        <v>489</v>
      </c>
      <c r="J1482" s="568" t="s">
        <v>288</v>
      </c>
      <c r="L1482" s="373">
        <v>1</v>
      </c>
    </row>
    <row r="1483" spans="1:12">
      <c r="A1483" s="565">
        <v>1478</v>
      </c>
      <c r="B1483" s="560" t="s">
        <v>278</v>
      </c>
      <c r="C1483" s="560" t="s">
        <v>510</v>
      </c>
      <c r="D1483" s="560" t="s">
        <v>291</v>
      </c>
      <c r="E1483" s="560">
        <v>140</v>
      </c>
      <c r="F1483" s="560">
        <v>3</v>
      </c>
      <c r="G1483" s="560" t="s">
        <v>286</v>
      </c>
      <c r="H1483" s="566">
        <v>3.9270687237026651</v>
      </c>
      <c r="I1483" s="567" t="s">
        <v>464</v>
      </c>
      <c r="J1483" s="568" t="s">
        <v>288</v>
      </c>
      <c r="L1483" s="373">
        <v>1</v>
      </c>
    </row>
    <row r="1484" spans="1:12" ht="21">
      <c r="A1484" s="565">
        <v>1479</v>
      </c>
      <c r="B1484" s="560" t="s">
        <v>277</v>
      </c>
      <c r="C1484" s="560" t="s">
        <v>510</v>
      </c>
      <c r="D1484" s="560">
        <v>1984</v>
      </c>
      <c r="E1484" s="560">
        <v>3540</v>
      </c>
      <c r="F1484" s="560">
        <v>245</v>
      </c>
      <c r="G1484" s="560" t="s">
        <v>286</v>
      </c>
      <c r="H1484" s="566">
        <v>99.298737727910236</v>
      </c>
      <c r="I1484" s="567" t="s">
        <v>511</v>
      </c>
      <c r="J1484" s="568" t="s">
        <v>288</v>
      </c>
      <c r="L1484" s="373">
        <v>1</v>
      </c>
    </row>
    <row r="1485" spans="1:12" ht="21">
      <c r="A1485" s="565">
        <v>1480</v>
      </c>
      <c r="B1485" s="560" t="s">
        <v>277</v>
      </c>
      <c r="C1485" s="560" t="s">
        <v>510</v>
      </c>
      <c r="D1485" s="560">
        <v>1983</v>
      </c>
      <c r="E1485" s="560">
        <v>3580</v>
      </c>
      <c r="F1485" s="560">
        <v>250</v>
      </c>
      <c r="G1485" s="560" t="s">
        <v>286</v>
      </c>
      <c r="H1485" s="566">
        <v>100.42075736325386</v>
      </c>
      <c r="I1485" s="567" t="s">
        <v>511</v>
      </c>
      <c r="J1485" s="568" t="s">
        <v>288</v>
      </c>
      <c r="L1485" s="373">
        <v>1</v>
      </c>
    </row>
    <row r="1486" spans="1:12" ht="21">
      <c r="A1486" s="565">
        <v>1481</v>
      </c>
      <c r="B1486" s="560" t="s">
        <v>277</v>
      </c>
      <c r="C1486" s="560" t="s">
        <v>510</v>
      </c>
      <c r="D1486" s="560">
        <v>1980</v>
      </c>
      <c r="E1486" s="560">
        <v>3580</v>
      </c>
      <c r="F1486" s="560">
        <v>240</v>
      </c>
      <c r="G1486" s="560" t="s">
        <v>286</v>
      </c>
      <c r="H1486" s="566">
        <v>100.42075736325386</v>
      </c>
      <c r="I1486" s="567" t="s">
        <v>511</v>
      </c>
      <c r="J1486" s="568" t="s">
        <v>288</v>
      </c>
      <c r="L1486" s="373">
        <v>1</v>
      </c>
    </row>
    <row r="1487" spans="1:12" ht="21">
      <c r="A1487" s="565">
        <v>1482</v>
      </c>
      <c r="B1487" s="560" t="s">
        <v>277</v>
      </c>
      <c r="C1487" s="560" t="s">
        <v>510</v>
      </c>
      <c r="D1487" s="560">
        <v>1982</v>
      </c>
      <c r="E1487" s="560">
        <v>3500</v>
      </c>
      <c r="F1487" s="560">
        <v>240</v>
      </c>
      <c r="G1487" s="560" t="s">
        <v>286</v>
      </c>
      <c r="H1487" s="566">
        <v>98.176718092566617</v>
      </c>
      <c r="I1487" s="567" t="s">
        <v>511</v>
      </c>
      <c r="J1487" s="568" t="s">
        <v>288</v>
      </c>
      <c r="L1487" s="373">
        <v>1</v>
      </c>
    </row>
    <row r="1488" spans="1:12" ht="21">
      <c r="A1488" s="565">
        <v>1483</v>
      </c>
      <c r="B1488" s="560" t="s">
        <v>277</v>
      </c>
      <c r="C1488" s="560" t="s">
        <v>510</v>
      </c>
      <c r="D1488" s="560">
        <v>1985</v>
      </c>
      <c r="E1488" s="560">
        <v>1900</v>
      </c>
      <c r="F1488" s="560">
        <v>180</v>
      </c>
      <c r="G1488" s="560" t="s">
        <v>286</v>
      </c>
      <c r="H1488" s="566">
        <v>53.295932678821885</v>
      </c>
      <c r="I1488" s="567" t="s">
        <v>511</v>
      </c>
      <c r="J1488" s="568" t="s">
        <v>288</v>
      </c>
      <c r="L1488" s="373">
        <v>1</v>
      </c>
    </row>
    <row r="1489" spans="1:12" ht="21">
      <c r="A1489" s="565">
        <v>1484</v>
      </c>
      <c r="B1489" s="560" t="s">
        <v>277</v>
      </c>
      <c r="C1489" s="560" t="s">
        <v>510</v>
      </c>
      <c r="D1489" s="560">
        <v>1985</v>
      </c>
      <c r="E1489" s="560">
        <v>1900</v>
      </c>
      <c r="F1489" s="560">
        <v>190</v>
      </c>
      <c r="G1489" s="560" t="s">
        <v>286</v>
      </c>
      <c r="H1489" s="566">
        <v>53.295932678821885</v>
      </c>
      <c r="I1489" s="567" t="s">
        <v>511</v>
      </c>
      <c r="J1489" s="568" t="s">
        <v>288</v>
      </c>
      <c r="L1489" s="373">
        <v>1</v>
      </c>
    </row>
    <row r="1490" spans="1:12">
      <c r="A1490" s="565">
        <v>1485</v>
      </c>
      <c r="B1490" s="560" t="s">
        <v>277</v>
      </c>
      <c r="C1490" s="560" t="s">
        <v>510</v>
      </c>
      <c r="D1490" s="560">
        <v>1920</v>
      </c>
      <c r="E1490" s="560">
        <v>234</v>
      </c>
      <c r="F1490" s="560"/>
      <c r="G1490" s="560" t="s">
        <v>286</v>
      </c>
      <c r="H1490" s="566">
        <v>6.5638148667601683</v>
      </c>
      <c r="I1490" s="567" t="s">
        <v>464</v>
      </c>
      <c r="J1490" s="568" t="s">
        <v>288</v>
      </c>
      <c r="L1490" s="373">
        <v>1</v>
      </c>
    </row>
    <row r="1491" spans="1:12">
      <c r="A1491" s="565">
        <v>1486</v>
      </c>
      <c r="B1491" s="560" t="s">
        <v>277</v>
      </c>
      <c r="C1491" s="560" t="s">
        <v>510</v>
      </c>
      <c r="D1491" s="560">
        <v>1986</v>
      </c>
      <c r="E1491" s="560">
        <v>2247</v>
      </c>
      <c r="F1491" s="560">
        <v>150</v>
      </c>
      <c r="G1491" s="560" t="s">
        <v>286</v>
      </c>
      <c r="H1491" s="566">
        <v>63.029453015427769</v>
      </c>
      <c r="I1491" s="567" t="s">
        <v>512</v>
      </c>
      <c r="J1491" s="568" t="s">
        <v>468</v>
      </c>
      <c r="L1491" s="373">
        <v>1</v>
      </c>
    </row>
    <row r="1492" spans="1:12" ht="21">
      <c r="A1492" s="565">
        <v>1487</v>
      </c>
      <c r="B1492" s="560" t="s">
        <v>277</v>
      </c>
      <c r="C1492" s="560" t="s">
        <v>510</v>
      </c>
      <c r="D1492" s="560">
        <v>1967</v>
      </c>
      <c r="E1492" s="560">
        <v>1936</v>
      </c>
      <c r="F1492" s="560">
        <v>71</v>
      </c>
      <c r="G1492" s="560" t="s">
        <v>286</v>
      </c>
      <c r="H1492" s="566">
        <v>54.305750350631136</v>
      </c>
      <c r="I1492" s="567" t="s">
        <v>513</v>
      </c>
      <c r="J1492" s="568" t="s">
        <v>288</v>
      </c>
      <c r="L1492" s="373">
        <v>1</v>
      </c>
    </row>
    <row r="1493" spans="1:12" ht="21">
      <c r="A1493" s="565">
        <v>1488</v>
      </c>
      <c r="B1493" s="560" t="s">
        <v>277</v>
      </c>
      <c r="C1493" s="560" t="s">
        <v>510</v>
      </c>
      <c r="D1493" s="560">
        <v>1967</v>
      </c>
      <c r="E1493" s="560">
        <v>1936</v>
      </c>
      <c r="F1493" s="560">
        <v>79</v>
      </c>
      <c r="G1493" s="560" t="s">
        <v>286</v>
      </c>
      <c r="H1493" s="566">
        <v>54.305750350631136</v>
      </c>
      <c r="I1493" s="567" t="s">
        <v>513</v>
      </c>
      <c r="J1493" s="568" t="s">
        <v>288</v>
      </c>
      <c r="L1493" s="373">
        <v>1</v>
      </c>
    </row>
    <row r="1494" spans="1:12" ht="21">
      <c r="A1494" s="565">
        <v>1489</v>
      </c>
      <c r="B1494" s="560" t="s">
        <v>277</v>
      </c>
      <c r="C1494" s="560" t="s">
        <v>510</v>
      </c>
      <c r="D1494" s="560">
        <v>1967</v>
      </c>
      <c r="E1494" s="560">
        <v>1936</v>
      </c>
      <c r="F1494" s="560">
        <v>71</v>
      </c>
      <c r="G1494" s="560" t="s">
        <v>286</v>
      </c>
      <c r="H1494" s="566">
        <v>54.305750350631136</v>
      </c>
      <c r="I1494" s="567" t="s">
        <v>514</v>
      </c>
      <c r="J1494" s="568" t="s">
        <v>288</v>
      </c>
      <c r="L1494" s="373">
        <v>1</v>
      </c>
    </row>
    <row r="1495" spans="1:12">
      <c r="A1495" s="565">
        <v>1490</v>
      </c>
      <c r="B1495" s="560" t="s">
        <v>278</v>
      </c>
      <c r="C1495" s="560" t="s">
        <v>515</v>
      </c>
      <c r="D1495" s="560" t="s">
        <v>291</v>
      </c>
      <c r="E1495" s="560">
        <v>128</v>
      </c>
      <c r="F1495" s="560">
        <v>4</v>
      </c>
      <c r="G1495" s="560" t="s">
        <v>286</v>
      </c>
      <c r="H1495" s="566">
        <v>3.5904628330995796</v>
      </c>
      <c r="I1495" s="567" t="s">
        <v>288</v>
      </c>
      <c r="J1495" s="568" t="s">
        <v>288</v>
      </c>
      <c r="L1495" s="373">
        <v>1</v>
      </c>
    </row>
    <row r="1496" spans="1:12">
      <c r="A1496" s="565">
        <v>1491</v>
      </c>
      <c r="B1496" s="560" t="s">
        <v>278</v>
      </c>
      <c r="C1496" s="560" t="s">
        <v>515</v>
      </c>
      <c r="D1496" s="560" t="s">
        <v>292</v>
      </c>
      <c r="E1496" s="560">
        <v>106</v>
      </c>
      <c r="F1496" s="560">
        <v>2</v>
      </c>
      <c r="G1496" s="560" t="s">
        <v>286</v>
      </c>
      <c r="H1496" s="566">
        <v>2.9733520336605892</v>
      </c>
      <c r="I1496" s="567" t="s">
        <v>288</v>
      </c>
      <c r="J1496" s="568" t="s">
        <v>288</v>
      </c>
      <c r="L1496" s="373">
        <v>1</v>
      </c>
    </row>
    <row r="1497" spans="1:12">
      <c r="A1497" s="565">
        <v>1492</v>
      </c>
      <c r="B1497" s="560" t="s">
        <v>278</v>
      </c>
      <c r="C1497" s="560" t="s">
        <v>515</v>
      </c>
      <c r="D1497" s="560" t="s">
        <v>292</v>
      </c>
      <c r="E1497" s="560">
        <v>149</v>
      </c>
      <c r="F1497" s="560">
        <v>5</v>
      </c>
      <c r="G1497" s="560" t="s">
        <v>286</v>
      </c>
      <c r="H1497" s="566">
        <v>4.179523141654979</v>
      </c>
      <c r="I1497" s="567" t="s">
        <v>288</v>
      </c>
      <c r="J1497" s="568" t="s">
        <v>288</v>
      </c>
      <c r="L1497" s="373">
        <v>1</v>
      </c>
    </row>
    <row r="1498" spans="1:12" ht="21">
      <c r="A1498" s="565">
        <v>1493</v>
      </c>
      <c r="B1498" s="560" t="s">
        <v>278</v>
      </c>
      <c r="C1498" s="560" t="s">
        <v>515</v>
      </c>
      <c r="D1498" s="560" t="s">
        <v>291</v>
      </c>
      <c r="E1498" s="560">
        <v>131</v>
      </c>
      <c r="F1498" s="560">
        <v>3</v>
      </c>
      <c r="G1498" s="560" t="s">
        <v>286</v>
      </c>
      <c r="H1498" s="566">
        <v>3.6746143057503509</v>
      </c>
      <c r="I1498" s="567" t="s">
        <v>489</v>
      </c>
      <c r="J1498" s="568" t="s">
        <v>288</v>
      </c>
      <c r="L1498" s="373">
        <v>1</v>
      </c>
    </row>
    <row r="1499" spans="1:12">
      <c r="A1499" s="565">
        <v>1494</v>
      </c>
      <c r="B1499" s="560" t="s">
        <v>278</v>
      </c>
      <c r="C1499" s="560" t="s">
        <v>515</v>
      </c>
      <c r="D1499" s="560" t="s">
        <v>292</v>
      </c>
      <c r="E1499" s="560">
        <v>189</v>
      </c>
      <c r="F1499" s="560">
        <v>11</v>
      </c>
      <c r="G1499" s="560" t="s">
        <v>286</v>
      </c>
      <c r="H1499" s="566">
        <v>5.3015427769985974</v>
      </c>
      <c r="I1499" s="567" t="s">
        <v>288</v>
      </c>
      <c r="J1499" s="568" t="s">
        <v>288</v>
      </c>
      <c r="L1499" s="373">
        <v>1</v>
      </c>
    </row>
    <row r="1500" spans="1:12">
      <c r="A1500" s="565">
        <v>1495</v>
      </c>
      <c r="B1500" s="560" t="s">
        <v>278</v>
      </c>
      <c r="C1500" s="560" t="s">
        <v>515</v>
      </c>
      <c r="D1500" s="560" t="s">
        <v>292</v>
      </c>
      <c r="E1500" s="560">
        <v>127</v>
      </c>
      <c r="F1500" s="560">
        <v>3</v>
      </c>
      <c r="G1500" s="560" t="s">
        <v>286</v>
      </c>
      <c r="H1500" s="566">
        <v>3.562412342215989</v>
      </c>
      <c r="I1500" s="567" t="s">
        <v>288</v>
      </c>
      <c r="J1500" s="568" t="s">
        <v>288</v>
      </c>
      <c r="L1500" s="373">
        <v>1</v>
      </c>
    </row>
    <row r="1501" spans="1:12">
      <c r="A1501" s="565">
        <v>1496</v>
      </c>
      <c r="B1501" s="560" t="s">
        <v>278</v>
      </c>
      <c r="C1501" s="560" t="s">
        <v>515</v>
      </c>
      <c r="D1501" s="560" t="s">
        <v>291</v>
      </c>
      <c r="E1501" s="560">
        <v>122</v>
      </c>
      <c r="F1501" s="560">
        <v>4</v>
      </c>
      <c r="G1501" s="560" t="s">
        <v>286</v>
      </c>
      <c r="H1501" s="566">
        <v>3.4221598877980366</v>
      </c>
      <c r="I1501" s="567" t="s">
        <v>464</v>
      </c>
      <c r="J1501" s="568" t="s">
        <v>288</v>
      </c>
      <c r="L1501" s="373">
        <v>1</v>
      </c>
    </row>
    <row r="1502" spans="1:12">
      <c r="A1502" s="565">
        <v>1497</v>
      </c>
      <c r="B1502" s="560" t="s">
        <v>278</v>
      </c>
      <c r="C1502" s="560" t="s">
        <v>515</v>
      </c>
      <c r="D1502" s="560" t="s">
        <v>291</v>
      </c>
      <c r="E1502" s="560">
        <v>124</v>
      </c>
      <c r="F1502" s="560">
        <v>5</v>
      </c>
      <c r="G1502" s="560" t="s">
        <v>286</v>
      </c>
      <c r="H1502" s="566">
        <v>3.4782608695652177</v>
      </c>
      <c r="I1502" s="567" t="s">
        <v>464</v>
      </c>
      <c r="J1502" s="568" t="s">
        <v>288</v>
      </c>
      <c r="L1502" s="373">
        <v>1</v>
      </c>
    </row>
    <row r="1503" spans="1:12" ht="21">
      <c r="A1503" s="565">
        <v>1498</v>
      </c>
      <c r="B1503" s="560" t="s">
        <v>278</v>
      </c>
      <c r="C1503" s="560" t="s">
        <v>515</v>
      </c>
      <c r="D1503" s="560" t="s">
        <v>291</v>
      </c>
      <c r="E1503" s="560">
        <v>135</v>
      </c>
      <c r="F1503" s="560">
        <v>3</v>
      </c>
      <c r="G1503" s="560" t="s">
        <v>286</v>
      </c>
      <c r="H1503" s="566">
        <v>3.7868162692847127</v>
      </c>
      <c r="I1503" s="567" t="s">
        <v>489</v>
      </c>
      <c r="J1503" s="568" t="s">
        <v>288</v>
      </c>
      <c r="L1503" s="373">
        <v>1</v>
      </c>
    </row>
    <row r="1504" spans="1:12">
      <c r="A1504" s="565">
        <v>1499</v>
      </c>
      <c r="B1504" s="560" t="s">
        <v>278</v>
      </c>
      <c r="C1504" s="560" t="s">
        <v>515</v>
      </c>
      <c r="D1504" s="560" t="s">
        <v>291</v>
      </c>
      <c r="E1504" s="560">
        <v>153</v>
      </c>
      <c r="F1504" s="560">
        <v>5</v>
      </c>
      <c r="G1504" s="560" t="s">
        <v>286</v>
      </c>
      <c r="H1504" s="566">
        <v>4.2917251051893412</v>
      </c>
      <c r="I1504" s="567" t="s">
        <v>288</v>
      </c>
      <c r="J1504" s="568" t="s">
        <v>288</v>
      </c>
      <c r="L1504" s="373">
        <v>1</v>
      </c>
    </row>
    <row r="1505" spans="1:12">
      <c r="A1505" s="565">
        <v>1500</v>
      </c>
      <c r="B1505" s="560" t="s">
        <v>278</v>
      </c>
      <c r="C1505" s="560" t="s">
        <v>515</v>
      </c>
      <c r="D1505" s="560" t="s">
        <v>292</v>
      </c>
      <c r="E1505" s="560">
        <v>132</v>
      </c>
      <c r="F1505" s="560">
        <v>4</v>
      </c>
      <c r="G1505" s="560" t="s">
        <v>286</v>
      </c>
      <c r="H1505" s="566">
        <v>3.7026647966339414</v>
      </c>
      <c r="I1505" s="567" t="s">
        <v>464</v>
      </c>
      <c r="J1505" s="568" t="s">
        <v>288</v>
      </c>
      <c r="L1505" s="373">
        <v>1</v>
      </c>
    </row>
    <row r="1506" spans="1:12">
      <c r="A1506" s="565">
        <v>1501</v>
      </c>
      <c r="B1506" s="560" t="s">
        <v>278</v>
      </c>
      <c r="C1506" s="560" t="s">
        <v>515</v>
      </c>
      <c r="D1506" s="560" t="s">
        <v>291</v>
      </c>
      <c r="E1506" s="560">
        <v>129</v>
      </c>
      <c r="F1506" s="560">
        <v>3</v>
      </c>
      <c r="G1506" s="560" t="s">
        <v>286</v>
      </c>
      <c r="H1506" s="566">
        <v>3.6185133239831697</v>
      </c>
      <c r="I1506" s="567" t="s">
        <v>464</v>
      </c>
      <c r="J1506" s="568" t="s">
        <v>288</v>
      </c>
      <c r="L1506" s="373">
        <v>1</v>
      </c>
    </row>
    <row r="1507" spans="1:12">
      <c r="A1507" s="565">
        <v>1502</v>
      </c>
      <c r="B1507" s="560" t="s">
        <v>278</v>
      </c>
      <c r="C1507" s="560" t="s">
        <v>515</v>
      </c>
      <c r="D1507" s="560" t="s">
        <v>291</v>
      </c>
      <c r="E1507" s="560">
        <v>142</v>
      </c>
      <c r="F1507" s="560">
        <v>3</v>
      </c>
      <c r="G1507" s="560" t="s">
        <v>286</v>
      </c>
      <c r="H1507" s="566">
        <v>3.9831697054698458</v>
      </c>
      <c r="I1507" s="567" t="s">
        <v>288</v>
      </c>
      <c r="J1507" s="568" t="s">
        <v>288</v>
      </c>
      <c r="L1507" s="373">
        <v>1</v>
      </c>
    </row>
    <row r="1508" spans="1:12">
      <c r="A1508" s="565">
        <v>1503</v>
      </c>
      <c r="B1508" s="560" t="s">
        <v>278</v>
      </c>
      <c r="C1508" s="560" t="s">
        <v>533</v>
      </c>
      <c r="D1508" s="560" t="s">
        <v>292</v>
      </c>
      <c r="E1508" s="560">
        <v>157</v>
      </c>
      <c r="F1508" s="560">
        <v>6</v>
      </c>
      <c r="G1508" s="560" t="s">
        <v>286</v>
      </c>
      <c r="H1508" s="566">
        <v>4.4039270687237027</v>
      </c>
      <c r="I1508" s="567" t="s">
        <v>288</v>
      </c>
      <c r="J1508" s="568" t="s">
        <v>288</v>
      </c>
      <c r="L1508" s="373">
        <v>1</v>
      </c>
    </row>
    <row r="1509" spans="1:12">
      <c r="A1509" s="565">
        <v>1504</v>
      </c>
      <c r="B1509" s="560" t="s">
        <v>278</v>
      </c>
      <c r="C1509" s="560" t="s">
        <v>533</v>
      </c>
      <c r="D1509" s="560" t="s">
        <v>291</v>
      </c>
      <c r="E1509" s="560">
        <v>152</v>
      </c>
      <c r="F1509" s="560">
        <v>5</v>
      </c>
      <c r="G1509" s="560" t="s">
        <v>286</v>
      </c>
      <c r="H1509" s="566">
        <v>4.2636746143057502</v>
      </c>
      <c r="I1509" s="567" t="s">
        <v>288</v>
      </c>
      <c r="J1509" s="568" t="s">
        <v>288</v>
      </c>
      <c r="L1509" s="373">
        <v>1</v>
      </c>
    </row>
    <row r="1510" spans="1:12">
      <c r="A1510" s="565">
        <v>1505</v>
      </c>
      <c r="B1510" s="560" t="s">
        <v>278</v>
      </c>
      <c r="C1510" s="560" t="s">
        <v>533</v>
      </c>
      <c r="D1510" s="560" t="s">
        <v>292</v>
      </c>
      <c r="E1510" s="560">
        <v>141</v>
      </c>
      <c r="F1510" s="560">
        <v>4</v>
      </c>
      <c r="G1510" s="560" t="s">
        <v>286</v>
      </c>
      <c r="H1510" s="566">
        <v>3.9551192145862553</v>
      </c>
      <c r="I1510" s="567" t="s">
        <v>288</v>
      </c>
      <c r="J1510" s="568" t="s">
        <v>288</v>
      </c>
      <c r="L1510" s="373">
        <v>1</v>
      </c>
    </row>
    <row r="1511" spans="1:12">
      <c r="A1511" s="565">
        <v>1506</v>
      </c>
      <c r="B1511" s="560" t="s">
        <v>278</v>
      </c>
      <c r="C1511" s="560" t="s">
        <v>533</v>
      </c>
      <c r="D1511" s="560" t="s">
        <v>292</v>
      </c>
      <c r="E1511" s="560">
        <v>138</v>
      </c>
      <c r="F1511" s="560">
        <v>3</v>
      </c>
      <c r="G1511" s="560" t="s">
        <v>286</v>
      </c>
      <c r="H1511" s="566">
        <v>3.870967741935484</v>
      </c>
      <c r="I1511" s="567" t="s">
        <v>288</v>
      </c>
      <c r="J1511" s="568" t="s">
        <v>288</v>
      </c>
      <c r="L1511" s="373">
        <v>1</v>
      </c>
    </row>
    <row r="1512" spans="1:12">
      <c r="A1512" s="565">
        <v>1507</v>
      </c>
      <c r="B1512" s="560" t="s">
        <v>278</v>
      </c>
      <c r="C1512" s="560" t="s">
        <v>533</v>
      </c>
      <c r="D1512" s="560" t="s">
        <v>292</v>
      </c>
      <c r="E1512" s="560">
        <v>147</v>
      </c>
      <c r="F1512" s="560">
        <v>5</v>
      </c>
      <c r="G1512" s="560" t="s">
        <v>286</v>
      </c>
      <c r="H1512" s="566">
        <v>4.1234221598877978</v>
      </c>
      <c r="I1512" s="567" t="s">
        <v>288</v>
      </c>
      <c r="J1512" s="568" t="s">
        <v>288</v>
      </c>
      <c r="L1512" s="373">
        <v>1</v>
      </c>
    </row>
    <row r="1513" spans="1:12">
      <c r="A1513" s="565">
        <v>1508</v>
      </c>
      <c r="B1513" s="560" t="s">
        <v>278</v>
      </c>
      <c r="C1513" s="560" t="s">
        <v>533</v>
      </c>
      <c r="D1513" s="560" t="s">
        <v>291</v>
      </c>
      <c r="E1513" s="560">
        <v>110</v>
      </c>
      <c r="F1513" s="560">
        <v>2</v>
      </c>
      <c r="G1513" s="560" t="s">
        <v>286</v>
      </c>
      <c r="H1513" s="566">
        <v>3.085553997194951</v>
      </c>
      <c r="I1513" s="567" t="s">
        <v>288</v>
      </c>
      <c r="J1513" s="568" t="s">
        <v>288</v>
      </c>
      <c r="L1513" s="373">
        <v>1</v>
      </c>
    </row>
    <row r="1514" spans="1:12">
      <c r="A1514" s="565">
        <v>1509</v>
      </c>
      <c r="B1514" s="560" t="s">
        <v>278</v>
      </c>
      <c r="C1514" s="560" t="s">
        <v>533</v>
      </c>
      <c r="D1514" s="560" t="s">
        <v>292</v>
      </c>
      <c r="E1514" s="560">
        <v>97</v>
      </c>
      <c r="F1514" s="560">
        <v>3</v>
      </c>
      <c r="G1514" s="560" t="s">
        <v>286</v>
      </c>
      <c r="H1514" s="566">
        <v>2.7208976157082749</v>
      </c>
      <c r="I1514" s="567" t="s">
        <v>288</v>
      </c>
      <c r="J1514" s="568" t="s">
        <v>288</v>
      </c>
      <c r="L1514" s="373">
        <v>1</v>
      </c>
    </row>
    <row r="1515" spans="1:12">
      <c r="A1515" s="565">
        <v>1510</v>
      </c>
      <c r="B1515" s="560" t="s">
        <v>278</v>
      </c>
      <c r="C1515" s="560" t="s">
        <v>533</v>
      </c>
      <c r="D1515" s="560" t="s">
        <v>291</v>
      </c>
      <c r="E1515" s="560">
        <v>152</v>
      </c>
      <c r="F1515" s="560">
        <v>4</v>
      </c>
      <c r="G1515" s="560" t="s">
        <v>286</v>
      </c>
      <c r="H1515" s="566">
        <v>4.2636746143057502</v>
      </c>
      <c r="I1515" s="567" t="s">
        <v>288</v>
      </c>
      <c r="J1515" s="568" t="s">
        <v>468</v>
      </c>
      <c r="L1515" s="373">
        <v>1</v>
      </c>
    </row>
    <row r="1516" spans="1:12">
      <c r="A1516" s="565">
        <v>1511</v>
      </c>
      <c r="B1516" s="560" t="s">
        <v>278</v>
      </c>
      <c r="C1516" s="560" t="s">
        <v>533</v>
      </c>
      <c r="D1516" s="560" t="s">
        <v>292</v>
      </c>
      <c r="E1516" s="560">
        <v>148</v>
      </c>
      <c r="F1516" s="560">
        <v>5</v>
      </c>
      <c r="G1516" s="560" t="s">
        <v>286</v>
      </c>
      <c r="H1516" s="566">
        <v>4.1514726507713888</v>
      </c>
      <c r="I1516" s="567" t="s">
        <v>288</v>
      </c>
      <c r="J1516" s="568" t="s">
        <v>288</v>
      </c>
      <c r="L1516" s="373">
        <v>1</v>
      </c>
    </row>
    <row r="1517" spans="1:12">
      <c r="A1517" s="565">
        <v>1512</v>
      </c>
      <c r="B1517" s="560" t="s">
        <v>278</v>
      </c>
      <c r="C1517" s="560" t="s">
        <v>533</v>
      </c>
      <c r="D1517" s="560" t="s">
        <v>292</v>
      </c>
      <c r="E1517" s="560">
        <v>115</v>
      </c>
      <c r="F1517" s="560">
        <v>3</v>
      </c>
      <c r="G1517" s="560" t="s">
        <v>286</v>
      </c>
      <c r="H1517" s="566">
        <v>3.2258064516129035</v>
      </c>
      <c r="I1517" s="567" t="s">
        <v>288</v>
      </c>
      <c r="J1517" s="568" t="s">
        <v>288</v>
      </c>
      <c r="L1517" s="373">
        <v>1</v>
      </c>
    </row>
    <row r="1518" spans="1:12">
      <c r="A1518" s="565">
        <v>1513</v>
      </c>
      <c r="B1518" s="560" t="s">
        <v>278</v>
      </c>
      <c r="C1518" s="560" t="s">
        <v>533</v>
      </c>
      <c r="D1518" s="560" t="s">
        <v>292</v>
      </c>
      <c r="E1518" s="560">
        <v>116</v>
      </c>
      <c r="F1518" s="560">
        <v>2</v>
      </c>
      <c r="G1518" s="560" t="s">
        <v>286</v>
      </c>
      <c r="H1518" s="566">
        <v>3.2538569424964936</v>
      </c>
      <c r="I1518" s="567" t="s">
        <v>288</v>
      </c>
      <c r="J1518" s="568" t="s">
        <v>288</v>
      </c>
      <c r="L1518" s="373">
        <v>1</v>
      </c>
    </row>
    <row r="1519" spans="1:12">
      <c r="A1519" s="565">
        <v>1514</v>
      </c>
      <c r="B1519" s="560" t="s">
        <v>278</v>
      </c>
      <c r="C1519" s="560" t="s">
        <v>533</v>
      </c>
      <c r="D1519" s="560" t="s">
        <v>291</v>
      </c>
      <c r="E1519" s="560">
        <v>127</v>
      </c>
      <c r="F1519" s="560">
        <v>4</v>
      </c>
      <c r="G1519" s="560" t="s">
        <v>286</v>
      </c>
      <c r="H1519" s="566">
        <v>3.562412342215989</v>
      </c>
      <c r="I1519" s="567" t="s">
        <v>288</v>
      </c>
      <c r="J1519" s="568" t="s">
        <v>288</v>
      </c>
      <c r="L1519" s="373">
        <v>1</v>
      </c>
    </row>
    <row r="1520" spans="1:12">
      <c r="A1520" s="565">
        <v>1515</v>
      </c>
      <c r="B1520" s="560" t="s">
        <v>278</v>
      </c>
      <c r="C1520" s="560" t="s">
        <v>515</v>
      </c>
      <c r="D1520" s="560" t="s">
        <v>292</v>
      </c>
      <c r="E1520" s="560">
        <v>132</v>
      </c>
      <c r="F1520" s="560">
        <v>3</v>
      </c>
      <c r="G1520" s="560" t="s">
        <v>286</v>
      </c>
      <c r="H1520" s="566">
        <v>3.7026647966339414</v>
      </c>
      <c r="I1520" s="567" t="s">
        <v>288</v>
      </c>
      <c r="J1520" s="568" t="s">
        <v>288</v>
      </c>
      <c r="L1520" s="373">
        <v>1</v>
      </c>
    </row>
    <row r="1521" spans="1:12">
      <c r="A1521" s="565">
        <v>1516</v>
      </c>
      <c r="B1521" s="560" t="s">
        <v>278</v>
      </c>
      <c r="C1521" s="560" t="s">
        <v>515</v>
      </c>
      <c r="D1521" s="560" t="s">
        <v>290</v>
      </c>
      <c r="E1521" s="560">
        <v>119</v>
      </c>
      <c r="F1521" s="560">
        <v>2</v>
      </c>
      <c r="G1521" s="560" t="s">
        <v>286</v>
      </c>
      <c r="H1521" s="566">
        <v>3.3380084151472653</v>
      </c>
      <c r="I1521" s="567" t="s">
        <v>288</v>
      </c>
      <c r="J1521" s="568" t="s">
        <v>288</v>
      </c>
      <c r="L1521" s="373">
        <v>1</v>
      </c>
    </row>
    <row r="1522" spans="1:12" ht="21">
      <c r="A1522" s="565">
        <v>1517</v>
      </c>
      <c r="B1522" s="560" t="s">
        <v>278</v>
      </c>
      <c r="C1522" s="560" t="s">
        <v>515</v>
      </c>
      <c r="D1522" s="560" t="s">
        <v>291</v>
      </c>
      <c r="E1522" s="560">
        <v>131</v>
      </c>
      <c r="F1522" s="560">
        <v>3</v>
      </c>
      <c r="G1522" s="560" t="s">
        <v>286</v>
      </c>
      <c r="H1522" s="566">
        <v>3.6746143057503509</v>
      </c>
      <c r="I1522" s="567" t="s">
        <v>489</v>
      </c>
      <c r="J1522" s="568" t="s">
        <v>288</v>
      </c>
      <c r="L1522" s="373">
        <v>1</v>
      </c>
    </row>
    <row r="1523" spans="1:12">
      <c r="A1523" s="565">
        <v>1518</v>
      </c>
      <c r="B1523" s="560" t="s">
        <v>278</v>
      </c>
      <c r="C1523" s="560" t="s">
        <v>515</v>
      </c>
      <c r="D1523" s="560" t="s">
        <v>292</v>
      </c>
      <c r="E1523" s="560">
        <v>189</v>
      </c>
      <c r="F1523" s="560">
        <v>11</v>
      </c>
      <c r="G1523" s="560" t="s">
        <v>286</v>
      </c>
      <c r="H1523" s="566">
        <v>5.3015427769985974</v>
      </c>
      <c r="I1523" s="567" t="s">
        <v>288</v>
      </c>
      <c r="J1523" s="568" t="s">
        <v>288</v>
      </c>
      <c r="L1523" s="373">
        <v>1</v>
      </c>
    </row>
    <row r="1524" spans="1:12">
      <c r="A1524" s="565">
        <v>1519</v>
      </c>
      <c r="B1524" s="560" t="s">
        <v>278</v>
      </c>
      <c r="C1524" s="560" t="s">
        <v>515</v>
      </c>
      <c r="D1524" s="560" t="s">
        <v>292</v>
      </c>
      <c r="E1524" s="560">
        <v>127</v>
      </c>
      <c r="F1524" s="560">
        <v>3</v>
      </c>
      <c r="G1524" s="560" t="s">
        <v>286</v>
      </c>
      <c r="H1524" s="566">
        <v>3.562412342215989</v>
      </c>
      <c r="I1524" s="567" t="s">
        <v>288</v>
      </c>
      <c r="J1524" s="568" t="s">
        <v>288</v>
      </c>
      <c r="L1524" s="373">
        <v>1</v>
      </c>
    </row>
    <row r="1525" spans="1:12">
      <c r="A1525" s="565">
        <v>1520</v>
      </c>
      <c r="B1525" s="560" t="s">
        <v>278</v>
      </c>
      <c r="C1525" s="560" t="s">
        <v>515</v>
      </c>
      <c r="D1525" s="560" t="s">
        <v>291</v>
      </c>
      <c r="E1525" s="560">
        <v>122</v>
      </c>
      <c r="F1525" s="560">
        <v>4</v>
      </c>
      <c r="G1525" s="560" t="s">
        <v>286</v>
      </c>
      <c r="H1525" s="566">
        <v>3.4221598877980366</v>
      </c>
      <c r="I1525" s="567" t="s">
        <v>464</v>
      </c>
      <c r="J1525" s="568" t="s">
        <v>288</v>
      </c>
      <c r="L1525" s="373">
        <v>1</v>
      </c>
    </row>
    <row r="1526" spans="1:12">
      <c r="A1526" s="565">
        <v>1521</v>
      </c>
      <c r="B1526" s="560" t="s">
        <v>278</v>
      </c>
      <c r="C1526" s="560" t="s">
        <v>515</v>
      </c>
      <c r="D1526" s="560" t="s">
        <v>291</v>
      </c>
      <c r="E1526" s="560">
        <v>124</v>
      </c>
      <c r="F1526" s="560">
        <v>5</v>
      </c>
      <c r="G1526" s="560" t="s">
        <v>286</v>
      </c>
      <c r="H1526" s="566">
        <v>3.4782608695652177</v>
      </c>
      <c r="I1526" s="567" t="s">
        <v>464</v>
      </c>
      <c r="J1526" s="568" t="s">
        <v>288</v>
      </c>
      <c r="L1526" s="373">
        <v>1</v>
      </c>
    </row>
    <row r="1527" spans="1:12" ht="21">
      <c r="A1527" s="565">
        <v>1522</v>
      </c>
      <c r="B1527" s="560" t="s">
        <v>278</v>
      </c>
      <c r="C1527" s="560" t="s">
        <v>515</v>
      </c>
      <c r="D1527" s="560" t="s">
        <v>291</v>
      </c>
      <c r="E1527" s="560">
        <v>135</v>
      </c>
      <c r="F1527" s="560">
        <v>3</v>
      </c>
      <c r="G1527" s="560" t="s">
        <v>286</v>
      </c>
      <c r="H1527" s="566">
        <v>3.7868162692847127</v>
      </c>
      <c r="I1527" s="567" t="s">
        <v>489</v>
      </c>
      <c r="J1527" s="568" t="s">
        <v>288</v>
      </c>
      <c r="L1527" s="373">
        <v>1</v>
      </c>
    </row>
    <row r="1528" spans="1:12">
      <c r="A1528" s="565">
        <v>1523</v>
      </c>
      <c r="B1528" s="560" t="s">
        <v>278</v>
      </c>
      <c r="C1528" s="560" t="s">
        <v>515</v>
      </c>
      <c r="D1528" s="560" t="s">
        <v>291</v>
      </c>
      <c r="E1528" s="560">
        <v>153</v>
      </c>
      <c r="F1528" s="560">
        <v>5</v>
      </c>
      <c r="G1528" s="560" t="s">
        <v>286</v>
      </c>
      <c r="H1528" s="566">
        <v>4.2917251051893412</v>
      </c>
      <c r="I1528" s="567" t="s">
        <v>288</v>
      </c>
      <c r="J1528" s="568" t="s">
        <v>288</v>
      </c>
      <c r="L1528" s="373">
        <v>1</v>
      </c>
    </row>
    <row r="1529" spans="1:12">
      <c r="A1529" s="565">
        <v>1524</v>
      </c>
      <c r="B1529" s="560" t="s">
        <v>278</v>
      </c>
      <c r="C1529" s="560" t="s">
        <v>515</v>
      </c>
      <c r="D1529" s="560" t="s">
        <v>292</v>
      </c>
      <c r="E1529" s="560">
        <v>132</v>
      </c>
      <c r="F1529" s="560">
        <v>4</v>
      </c>
      <c r="G1529" s="560" t="s">
        <v>286</v>
      </c>
      <c r="H1529" s="566">
        <v>3.7026647966339414</v>
      </c>
      <c r="I1529" s="567" t="s">
        <v>464</v>
      </c>
      <c r="J1529" s="568" t="s">
        <v>288</v>
      </c>
      <c r="L1529" s="373">
        <v>1</v>
      </c>
    </row>
    <row r="1530" spans="1:12">
      <c r="A1530" s="565">
        <v>1525</v>
      </c>
      <c r="B1530" s="560" t="s">
        <v>278</v>
      </c>
      <c r="C1530" s="560" t="s">
        <v>515</v>
      </c>
      <c r="D1530" s="560" t="s">
        <v>291</v>
      </c>
      <c r="E1530" s="560">
        <v>129</v>
      </c>
      <c r="F1530" s="560">
        <v>3</v>
      </c>
      <c r="G1530" s="560" t="s">
        <v>286</v>
      </c>
      <c r="H1530" s="566">
        <v>3.6185133239831697</v>
      </c>
      <c r="I1530" s="567" t="s">
        <v>464</v>
      </c>
      <c r="J1530" s="568" t="s">
        <v>288</v>
      </c>
      <c r="L1530" s="373">
        <v>1</v>
      </c>
    </row>
    <row r="1531" spans="1:12">
      <c r="A1531" s="565">
        <v>1526</v>
      </c>
      <c r="B1531" s="560" t="s">
        <v>278</v>
      </c>
      <c r="C1531" s="560" t="s">
        <v>515</v>
      </c>
      <c r="D1531" s="560" t="s">
        <v>291</v>
      </c>
      <c r="E1531" s="560">
        <v>142</v>
      </c>
      <c r="F1531" s="560">
        <v>3</v>
      </c>
      <c r="G1531" s="560" t="s">
        <v>286</v>
      </c>
      <c r="H1531" s="566">
        <v>3.9831697054698458</v>
      </c>
      <c r="I1531" s="567" t="s">
        <v>288</v>
      </c>
      <c r="J1531" s="568" t="s">
        <v>288</v>
      </c>
      <c r="L1531" s="373">
        <v>1</v>
      </c>
    </row>
    <row r="1532" spans="1:12">
      <c r="A1532" s="565">
        <v>1527</v>
      </c>
      <c r="B1532" s="560" t="s">
        <v>278</v>
      </c>
      <c r="C1532" s="560" t="str">
        <f>C1508</f>
        <v>Bobrowice</v>
      </c>
      <c r="D1532" s="560" t="s">
        <v>292</v>
      </c>
      <c r="E1532" s="560">
        <v>157</v>
      </c>
      <c r="F1532" s="560">
        <v>6</v>
      </c>
      <c r="G1532" s="560" t="s">
        <v>286</v>
      </c>
      <c r="H1532" s="566">
        <v>4.4039270687237027</v>
      </c>
      <c r="I1532" s="567" t="s">
        <v>288</v>
      </c>
      <c r="J1532" s="568" t="s">
        <v>288</v>
      </c>
      <c r="L1532" s="373">
        <v>1</v>
      </c>
    </row>
    <row r="1533" spans="1:12">
      <c r="A1533" s="565">
        <v>1528</v>
      </c>
      <c r="B1533" s="560" t="s">
        <v>278</v>
      </c>
      <c r="C1533" s="560" t="str">
        <f t="shared" ref="C1533:C1542" si="21">C1509</f>
        <v>Bobrowice</v>
      </c>
      <c r="D1533" s="560" t="s">
        <v>291</v>
      </c>
      <c r="E1533" s="560">
        <v>152</v>
      </c>
      <c r="F1533" s="560">
        <v>5</v>
      </c>
      <c r="G1533" s="560" t="s">
        <v>286</v>
      </c>
      <c r="H1533" s="566">
        <v>4.2636746143057502</v>
      </c>
      <c r="I1533" s="567" t="s">
        <v>288</v>
      </c>
      <c r="J1533" s="568" t="s">
        <v>288</v>
      </c>
      <c r="L1533" s="373">
        <v>1</v>
      </c>
    </row>
    <row r="1534" spans="1:12">
      <c r="A1534" s="565">
        <v>1529</v>
      </c>
      <c r="B1534" s="560" t="s">
        <v>278</v>
      </c>
      <c r="C1534" s="560" t="str">
        <f t="shared" si="21"/>
        <v>Bobrowice</v>
      </c>
      <c r="D1534" s="560" t="s">
        <v>292</v>
      </c>
      <c r="E1534" s="560">
        <v>141</v>
      </c>
      <c r="F1534" s="560">
        <v>4</v>
      </c>
      <c r="G1534" s="560" t="s">
        <v>286</v>
      </c>
      <c r="H1534" s="566">
        <v>3.9551192145862553</v>
      </c>
      <c r="I1534" s="567" t="s">
        <v>288</v>
      </c>
      <c r="J1534" s="568" t="s">
        <v>288</v>
      </c>
      <c r="L1534" s="373">
        <v>1</v>
      </c>
    </row>
    <row r="1535" spans="1:12">
      <c r="A1535" s="565">
        <v>1530</v>
      </c>
      <c r="B1535" s="560" t="s">
        <v>278</v>
      </c>
      <c r="C1535" s="560" t="str">
        <f t="shared" si="21"/>
        <v>Bobrowice</v>
      </c>
      <c r="D1535" s="560" t="s">
        <v>292</v>
      </c>
      <c r="E1535" s="560">
        <v>138</v>
      </c>
      <c r="F1535" s="560">
        <v>3</v>
      </c>
      <c r="G1535" s="560" t="s">
        <v>286</v>
      </c>
      <c r="H1535" s="566">
        <v>3.870967741935484</v>
      </c>
      <c r="I1535" s="567" t="s">
        <v>288</v>
      </c>
      <c r="J1535" s="568" t="s">
        <v>288</v>
      </c>
      <c r="L1535" s="373">
        <v>1</v>
      </c>
    </row>
    <row r="1536" spans="1:12">
      <c r="A1536" s="565">
        <v>1531</v>
      </c>
      <c r="B1536" s="560" t="s">
        <v>278</v>
      </c>
      <c r="C1536" s="560" t="str">
        <f t="shared" si="21"/>
        <v>Bobrowice</v>
      </c>
      <c r="D1536" s="560" t="s">
        <v>292</v>
      </c>
      <c r="E1536" s="560">
        <v>147</v>
      </c>
      <c r="F1536" s="560">
        <v>5</v>
      </c>
      <c r="G1536" s="560" t="s">
        <v>286</v>
      </c>
      <c r="H1536" s="566">
        <v>4.1234221598877978</v>
      </c>
      <c r="I1536" s="567" t="s">
        <v>288</v>
      </c>
      <c r="J1536" s="568" t="s">
        <v>288</v>
      </c>
      <c r="L1536" s="373">
        <v>1</v>
      </c>
    </row>
    <row r="1537" spans="1:12">
      <c r="A1537" s="565">
        <v>1532</v>
      </c>
      <c r="B1537" s="560" t="s">
        <v>278</v>
      </c>
      <c r="C1537" s="560" t="str">
        <f t="shared" si="21"/>
        <v>Bobrowice</v>
      </c>
      <c r="D1537" s="560" t="s">
        <v>291</v>
      </c>
      <c r="E1537" s="560">
        <v>110</v>
      </c>
      <c r="F1537" s="560">
        <v>2</v>
      </c>
      <c r="G1537" s="560" t="s">
        <v>286</v>
      </c>
      <c r="H1537" s="566">
        <v>3.085553997194951</v>
      </c>
      <c r="I1537" s="567" t="s">
        <v>288</v>
      </c>
      <c r="J1537" s="568" t="s">
        <v>288</v>
      </c>
      <c r="L1537" s="373">
        <v>1</v>
      </c>
    </row>
    <row r="1538" spans="1:12">
      <c r="A1538" s="565">
        <v>1533</v>
      </c>
      <c r="B1538" s="560" t="s">
        <v>278</v>
      </c>
      <c r="C1538" s="560" t="str">
        <f t="shared" si="21"/>
        <v>Bobrowice</v>
      </c>
      <c r="D1538" s="560" t="s">
        <v>292</v>
      </c>
      <c r="E1538" s="560">
        <v>97</v>
      </c>
      <c r="F1538" s="560">
        <v>3</v>
      </c>
      <c r="G1538" s="560" t="s">
        <v>286</v>
      </c>
      <c r="H1538" s="566">
        <v>2.7208976157082749</v>
      </c>
      <c r="I1538" s="567" t="s">
        <v>288</v>
      </c>
      <c r="J1538" s="568" t="s">
        <v>288</v>
      </c>
      <c r="L1538" s="373">
        <v>1</v>
      </c>
    </row>
    <row r="1539" spans="1:12">
      <c r="A1539" s="565">
        <v>1534</v>
      </c>
      <c r="B1539" s="560" t="s">
        <v>278</v>
      </c>
      <c r="C1539" s="560" t="str">
        <f t="shared" si="21"/>
        <v>Bobrowice</v>
      </c>
      <c r="D1539" s="560" t="s">
        <v>291</v>
      </c>
      <c r="E1539" s="560">
        <v>152</v>
      </c>
      <c r="F1539" s="560">
        <v>4</v>
      </c>
      <c r="G1539" s="560" t="s">
        <v>286</v>
      </c>
      <c r="H1539" s="566">
        <v>4.2636746143057502</v>
      </c>
      <c r="I1539" s="567" t="s">
        <v>288</v>
      </c>
      <c r="J1539" s="568" t="s">
        <v>468</v>
      </c>
      <c r="L1539" s="373">
        <v>1</v>
      </c>
    </row>
    <row r="1540" spans="1:12">
      <c r="A1540" s="565">
        <v>1535</v>
      </c>
      <c r="B1540" s="560" t="s">
        <v>278</v>
      </c>
      <c r="C1540" s="560" t="str">
        <f t="shared" si="21"/>
        <v>Bobrowice</v>
      </c>
      <c r="D1540" s="560" t="s">
        <v>292</v>
      </c>
      <c r="E1540" s="560">
        <v>148</v>
      </c>
      <c r="F1540" s="560">
        <v>5</v>
      </c>
      <c r="G1540" s="560" t="str">
        <f>G1541</f>
        <v>prąd</v>
      </c>
      <c r="H1540" s="566">
        <v>29600</v>
      </c>
      <c r="I1540" s="567" t="s">
        <v>288</v>
      </c>
      <c r="J1540" s="568" t="s">
        <v>288</v>
      </c>
      <c r="L1540" s="373">
        <v>1</v>
      </c>
    </row>
    <row r="1541" spans="1:12">
      <c r="A1541" s="565">
        <v>1536</v>
      </c>
      <c r="B1541" s="560" t="s">
        <v>278</v>
      </c>
      <c r="C1541" s="560" t="str">
        <f t="shared" si="21"/>
        <v>Bobrowice</v>
      </c>
      <c r="D1541" s="560" t="s">
        <v>292</v>
      </c>
      <c r="E1541" s="560">
        <v>115</v>
      </c>
      <c r="F1541" s="560">
        <v>3</v>
      </c>
      <c r="G1541" s="560" t="s">
        <v>287</v>
      </c>
      <c r="H1541" s="566">
        <v>23000</v>
      </c>
      <c r="I1541" s="567" t="s">
        <v>288</v>
      </c>
      <c r="J1541" s="568" t="s">
        <v>288</v>
      </c>
      <c r="L1541" s="373">
        <v>1</v>
      </c>
    </row>
    <row r="1542" spans="1:12">
      <c r="A1542" s="565">
        <v>1537</v>
      </c>
      <c r="B1542" s="560" t="s">
        <v>278</v>
      </c>
      <c r="C1542" s="560" t="str">
        <f t="shared" si="21"/>
        <v>Bobrowice</v>
      </c>
      <c r="D1542" s="560" t="s">
        <v>292</v>
      </c>
      <c r="E1542" s="560">
        <v>116</v>
      </c>
      <c r="F1542" s="560">
        <v>2</v>
      </c>
      <c r="G1542" s="560" t="s">
        <v>286</v>
      </c>
      <c r="H1542" s="566">
        <v>3.2538569424964936</v>
      </c>
      <c r="I1542" s="567" t="s">
        <v>288</v>
      </c>
      <c r="J1542" s="568" t="s">
        <v>288</v>
      </c>
      <c r="L1542" s="373">
        <v>1</v>
      </c>
    </row>
    <row r="1543" spans="1:12">
      <c r="A1543" s="565">
        <v>1538</v>
      </c>
      <c r="B1543" s="560" t="s">
        <v>278</v>
      </c>
      <c r="C1543" s="560" t="s">
        <v>515</v>
      </c>
      <c r="D1543" s="560" t="s">
        <v>291</v>
      </c>
      <c r="E1543" s="560">
        <v>127</v>
      </c>
      <c r="F1543" s="560">
        <v>4</v>
      </c>
      <c r="G1543" s="560" t="s">
        <v>286</v>
      </c>
      <c r="H1543" s="566">
        <v>3.562412342215989</v>
      </c>
      <c r="I1543" s="567" t="s">
        <v>288</v>
      </c>
      <c r="J1543" s="568" t="s">
        <v>288</v>
      </c>
      <c r="L1543" s="373">
        <v>1</v>
      </c>
    </row>
    <row r="1544" spans="1:12">
      <c r="A1544" s="565">
        <v>1539</v>
      </c>
      <c r="B1544" s="560" t="s">
        <v>278</v>
      </c>
      <c r="C1544" s="560" t="s">
        <v>515</v>
      </c>
      <c r="D1544" s="560" t="s">
        <v>292</v>
      </c>
      <c r="E1544" s="560">
        <v>132</v>
      </c>
      <c r="F1544" s="560">
        <v>3</v>
      </c>
      <c r="G1544" s="560" t="s">
        <v>286</v>
      </c>
      <c r="H1544" s="566">
        <v>3.7026647966339414</v>
      </c>
      <c r="I1544" s="567" t="s">
        <v>288</v>
      </c>
      <c r="J1544" s="568" t="s">
        <v>288</v>
      </c>
      <c r="L1544" s="373">
        <v>1</v>
      </c>
    </row>
    <row r="1545" spans="1:12">
      <c r="A1545" s="565">
        <v>1540</v>
      </c>
      <c r="B1545" s="560" t="s">
        <v>278</v>
      </c>
      <c r="C1545" s="560" t="s">
        <v>515</v>
      </c>
      <c r="D1545" s="560" t="s">
        <v>290</v>
      </c>
      <c r="E1545" s="560">
        <v>119</v>
      </c>
      <c r="F1545" s="560">
        <v>2</v>
      </c>
      <c r="G1545" s="560" t="s">
        <v>286</v>
      </c>
      <c r="H1545" s="566">
        <v>3.3380084151472653</v>
      </c>
      <c r="I1545" s="567" t="s">
        <v>288</v>
      </c>
      <c r="J1545" s="568" t="s">
        <v>288</v>
      </c>
      <c r="L1545" s="373">
        <v>1</v>
      </c>
    </row>
    <row r="1546" spans="1:12" ht="21">
      <c r="A1546" s="565">
        <v>1541</v>
      </c>
      <c r="B1546" s="560" t="s">
        <v>278</v>
      </c>
      <c r="C1546" s="560" t="s">
        <v>515</v>
      </c>
      <c r="D1546" s="560" t="s">
        <v>291</v>
      </c>
      <c r="E1546" s="560">
        <v>131</v>
      </c>
      <c r="F1546" s="560">
        <v>3</v>
      </c>
      <c r="G1546" s="560" t="s">
        <v>286</v>
      </c>
      <c r="H1546" s="566">
        <v>3.6746143057503509</v>
      </c>
      <c r="I1546" s="567" t="s">
        <v>489</v>
      </c>
      <c r="J1546" s="568" t="s">
        <v>288</v>
      </c>
      <c r="L1546" s="373">
        <v>1</v>
      </c>
    </row>
    <row r="1547" spans="1:12">
      <c r="A1547" s="565">
        <v>1542</v>
      </c>
      <c r="B1547" s="560" t="s">
        <v>278</v>
      </c>
      <c r="C1547" s="560" t="s">
        <v>515</v>
      </c>
      <c r="D1547" s="560" t="s">
        <v>292</v>
      </c>
      <c r="E1547" s="560">
        <v>189</v>
      </c>
      <c r="F1547" s="560">
        <v>11</v>
      </c>
      <c r="G1547" s="560" t="s">
        <v>286</v>
      </c>
      <c r="H1547" s="566">
        <v>5.3015427769985974</v>
      </c>
      <c r="I1547" s="567" t="s">
        <v>288</v>
      </c>
      <c r="J1547" s="568" t="s">
        <v>288</v>
      </c>
      <c r="L1547" s="373">
        <v>1</v>
      </c>
    </row>
    <row r="1548" spans="1:12">
      <c r="A1548" s="565">
        <v>1543</v>
      </c>
      <c r="B1548" s="560" t="s">
        <v>278</v>
      </c>
      <c r="C1548" s="560" t="s">
        <v>515</v>
      </c>
      <c r="D1548" s="560" t="s">
        <v>292</v>
      </c>
      <c r="E1548" s="560">
        <v>127</v>
      </c>
      <c r="F1548" s="560">
        <v>3</v>
      </c>
      <c r="G1548" s="560" t="s">
        <v>286</v>
      </c>
      <c r="H1548" s="566">
        <v>3.562412342215989</v>
      </c>
      <c r="I1548" s="567" t="s">
        <v>288</v>
      </c>
      <c r="J1548" s="568" t="s">
        <v>288</v>
      </c>
      <c r="L1548" s="373">
        <v>1</v>
      </c>
    </row>
    <row r="1549" spans="1:12">
      <c r="A1549" s="565">
        <v>1544</v>
      </c>
      <c r="B1549" s="560" t="s">
        <v>278</v>
      </c>
      <c r="C1549" s="560" t="s">
        <v>515</v>
      </c>
      <c r="D1549" s="560" t="s">
        <v>291</v>
      </c>
      <c r="E1549" s="560">
        <v>122</v>
      </c>
      <c r="F1549" s="560">
        <v>4</v>
      </c>
      <c r="G1549" s="560" t="s">
        <v>286</v>
      </c>
      <c r="H1549" s="566">
        <v>3.4221598877980366</v>
      </c>
      <c r="I1549" s="567" t="s">
        <v>464</v>
      </c>
      <c r="J1549" s="568" t="s">
        <v>288</v>
      </c>
      <c r="L1549" s="373">
        <v>1</v>
      </c>
    </row>
    <row r="1550" spans="1:12">
      <c r="A1550" s="565">
        <v>1545</v>
      </c>
      <c r="B1550" s="560" t="s">
        <v>278</v>
      </c>
      <c r="C1550" s="560" t="s">
        <v>515</v>
      </c>
      <c r="D1550" s="560" t="s">
        <v>291</v>
      </c>
      <c r="E1550" s="560">
        <v>124</v>
      </c>
      <c r="F1550" s="560">
        <v>5</v>
      </c>
      <c r="G1550" s="560" t="s">
        <v>286</v>
      </c>
      <c r="H1550" s="566">
        <v>3.4782608695652177</v>
      </c>
      <c r="I1550" s="567" t="s">
        <v>464</v>
      </c>
      <c r="J1550" s="568" t="s">
        <v>288</v>
      </c>
      <c r="L1550" s="373">
        <v>1</v>
      </c>
    </row>
    <row r="1551" spans="1:12" ht="21">
      <c r="A1551" s="565">
        <v>1546</v>
      </c>
      <c r="B1551" s="560" t="s">
        <v>278</v>
      </c>
      <c r="C1551" s="560" t="s">
        <v>515</v>
      </c>
      <c r="D1551" s="560" t="s">
        <v>291</v>
      </c>
      <c r="E1551" s="560">
        <v>135</v>
      </c>
      <c r="F1551" s="560">
        <v>3</v>
      </c>
      <c r="G1551" s="560" t="s">
        <v>286</v>
      </c>
      <c r="H1551" s="566">
        <v>3.7868162692847127</v>
      </c>
      <c r="I1551" s="567" t="s">
        <v>489</v>
      </c>
      <c r="J1551" s="568" t="s">
        <v>288</v>
      </c>
      <c r="L1551" s="373">
        <v>1</v>
      </c>
    </row>
    <row r="1552" spans="1:12">
      <c r="A1552" s="565">
        <v>1547</v>
      </c>
      <c r="B1552" s="560" t="s">
        <v>278</v>
      </c>
      <c r="C1552" s="560" t="s">
        <v>515</v>
      </c>
      <c r="D1552" s="560" t="s">
        <v>291</v>
      </c>
      <c r="E1552" s="560">
        <v>153</v>
      </c>
      <c r="F1552" s="560">
        <v>5</v>
      </c>
      <c r="G1552" s="560" t="s">
        <v>286</v>
      </c>
      <c r="H1552" s="566">
        <v>4.2917251051893412</v>
      </c>
      <c r="I1552" s="567" t="s">
        <v>288</v>
      </c>
      <c r="J1552" s="568" t="s">
        <v>288</v>
      </c>
      <c r="L1552" s="373">
        <v>1</v>
      </c>
    </row>
    <row r="1553" spans="1:12">
      <c r="A1553" s="565">
        <v>1548</v>
      </c>
      <c r="B1553" s="560" t="s">
        <v>278</v>
      </c>
      <c r="C1553" s="560" t="s">
        <v>515</v>
      </c>
      <c r="D1553" s="560" t="s">
        <v>292</v>
      </c>
      <c r="E1553" s="560">
        <v>132</v>
      </c>
      <c r="F1553" s="560">
        <v>4</v>
      </c>
      <c r="G1553" s="560" t="s">
        <v>286</v>
      </c>
      <c r="H1553" s="566">
        <v>3.7026647966339414</v>
      </c>
      <c r="I1553" s="567" t="s">
        <v>464</v>
      </c>
      <c r="J1553" s="568" t="s">
        <v>288</v>
      </c>
      <c r="L1553" s="373">
        <v>1</v>
      </c>
    </row>
    <row r="1554" spans="1:12">
      <c r="A1554" s="565">
        <v>1549</v>
      </c>
      <c r="B1554" s="560" t="s">
        <v>278</v>
      </c>
      <c r="C1554" s="560" t="s">
        <v>515</v>
      </c>
      <c r="D1554" s="560" t="s">
        <v>291</v>
      </c>
      <c r="E1554" s="560">
        <v>129</v>
      </c>
      <c r="F1554" s="560">
        <v>3</v>
      </c>
      <c r="G1554" s="560" t="s">
        <v>286</v>
      </c>
      <c r="H1554" s="566">
        <v>3.6185133239831697</v>
      </c>
      <c r="I1554" s="567" t="s">
        <v>464</v>
      </c>
      <c r="J1554" s="568" t="s">
        <v>288</v>
      </c>
      <c r="L1554" s="373">
        <v>1</v>
      </c>
    </row>
    <row r="1555" spans="1:12">
      <c r="A1555" s="565">
        <v>1550</v>
      </c>
      <c r="B1555" s="560" t="s">
        <v>278</v>
      </c>
      <c r="C1555" s="560" t="s">
        <v>515</v>
      </c>
      <c r="D1555" s="560" t="s">
        <v>291</v>
      </c>
      <c r="E1555" s="560">
        <v>142</v>
      </c>
      <c r="F1555" s="560">
        <v>3</v>
      </c>
      <c r="G1555" s="560" t="s">
        <v>286</v>
      </c>
      <c r="H1555" s="566">
        <v>3.9831697054698458</v>
      </c>
      <c r="I1555" s="567" t="s">
        <v>288</v>
      </c>
      <c r="J1555" s="568" t="s">
        <v>288</v>
      </c>
      <c r="L1555" s="373">
        <v>1</v>
      </c>
    </row>
    <row r="1556" spans="1:12" ht="21">
      <c r="A1556" s="565">
        <v>1551</v>
      </c>
      <c r="B1556" s="560" t="s">
        <v>278</v>
      </c>
      <c r="C1556" s="560" t="s">
        <v>510</v>
      </c>
      <c r="D1556" s="560" t="s">
        <v>291</v>
      </c>
      <c r="E1556" s="560">
        <v>139</v>
      </c>
      <c r="F1556" s="560">
        <v>4</v>
      </c>
      <c r="G1556" s="560" t="s">
        <v>286</v>
      </c>
      <c r="H1556" s="566">
        <v>3.8990182328190746</v>
      </c>
      <c r="I1556" s="567" t="s">
        <v>489</v>
      </c>
      <c r="J1556" s="568" t="s">
        <v>288</v>
      </c>
      <c r="L1556" s="373">
        <v>1</v>
      </c>
    </row>
    <row r="1557" spans="1:12">
      <c r="A1557" s="565">
        <v>1552</v>
      </c>
      <c r="B1557" s="560" t="s">
        <v>278</v>
      </c>
      <c r="C1557" s="560" t="s">
        <v>510</v>
      </c>
      <c r="D1557" s="560" t="s">
        <v>292</v>
      </c>
      <c r="E1557" s="560">
        <v>112</v>
      </c>
      <c r="F1557" s="560">
        <v>2</v>
      </c>
      <c r="G1557" s="560" t="s">
        <v>286</v>
      </c>
      <c r="H1557" s="566">
        <v>3.1416549789621318</v>
      </c>
      <c r="I1557" s="567" t="s">
        <v>499</v>
      </c>
      <c r="J1557" s="568" t="s">
        <v>288</v>
      </c>
      <c r="L1557" s="373">
        <v>1</v>
      </c>
    </row>
    <row r="1558" spans="1:12">
      <c r="A1558" s="565">
        <v>1553</v>
      </c>
      <c r="B1558" s="560" t="s">
        <v>278</v>
      </c>
      <c r="C1558" s="560" t="s">
        <v>510</v>
      </c>
      <c r="D1558" s="560" t="s">
        <v>292</v>
      </c>
      <c r="E1558" s="560">
        <v>147</v>
      </c>
      <c r="F1558" s="560">
        <v>4</v>
      </c>
      <c r="G1558" s="560" t="s">
        <v>286</v>
      </c>
      <c r="H1558" s="566">
        <v>4.1234221598877978</v>
      </c>
      <c r="I1558" s="567" t="s">
        <v>288</v>
      </c>
      <c r="J1558" s="568" t="s">
        <v>288</v>
      </c>
      <c r="L1558" s="373">
        <v>1</v>
      </c>
    </row>
    <row r="1559" spans="1:12">
      <c r="A1559" s="565">
        <v>1554</v>
      </c>
      <c r="B1559" s="560" t="s">
        <v>278</v>
      </c>
      <c r="C1559" s="560" t="s">
        <v>510</v>
      </c>
      <c r="D1559" s="560" t="s">
        <v>292</v>
      </c>
      <c r="E1559" s="560">
        <v>92</v>
      </c>
      <c r="F1559" s="560">
        <v>2</v>
      </c>
      <c r="G1559" s="560" t="s">
        <v>286</v>
      </c>
      <c r="H1559" s="566">
        <v>2.5806451612903225</v>
      </c>
      <c r="I1559" s="567" t="s">
        <v>288</v>
      </c>
      <c r="J1559" s="568" t="s">
        <v>288</v>
      </c>
      <c r="L1559" s="373">
        <v>1</v>
      </c>
    </row>
    <row r="1560" spans="1:12">
      <c r="A1560" s="565">
        <v>1555</v>
      </c>
      <c r="B1560" s="560" t="s">
        <v>278</v>
      </c>
      <c r="C1560" s="560" t="s">
        <v>510</v>
      </c>
      <c r="D1560" s="560" t="s">
        <v>292</v>
      </c>
      <c r="E1560" s="560">
        <v>154</v>
      </c>
      <c r="F1560" s="560">
        <v>5</v>
      </c>
      <c r="G1560" s="560" t="s">
        <v>286</v>
      </c>
      <c r="H1560" s="566">
        <v>4.3197755960729314</v>
      </c>
      <c r="I1560" s="567" t="s">
        <v>288</v>
      </c>
      <c r="J1560" s="568" t="s">
        <v>288</v>
      </c>
      <c r="L1560" s="373">
        <v>1</v>
      </c>
    </row>
    <row r="1561" spans="1:12" ht="21">
      <c r="A1561" s="565">
        <v>1556</v>
      </c>
      <c r="B1561" s="560" t="s">
        <v>278</v>
      </c>
      <c r="C1561" s="560" t="s">
        <v>510</v>
      </c>
      <c r="D1561" s="560" t="s">
        <v>293</v>
      </c>
      <c r="E1561" s="560">
        <v>136</v>
      </c>
      <c r="F1561" s="560">
        <v>3</v>
      </c>
      <c r="G1561" s="560" t="s">
        <v>286</v>
      </c>
      <c r="H1561" s="566">
        <v>3.8148667601683033</v>
      </c>
      <c r="I1561" s="567" t="s">
        <v>489</v>
      </c>
      <c r="J1561" s="568" t="s">
        <v>288</v>
      </c>
      <c r="L1561" s="373">
        <v>1</v>
      </c>
    </row>
    <row r="1562" spans="1:12" ht="21">
      <c r="A1562" s="565">
        <v>1557</v>
      </c>
      <c r="B1562" s="560" t="s">
        <v>278</v>
      </c>
      <c r="C1562" s="560" t="s">
        <v>510</v>
      </c>
      <c r="D1562" s="560" t="s">
        <v>291</v>
      </c>
      <c r="E1562" s="560">
        <v>164</v>
      </c>
      <c r="F1562" s="560">
        <v>5</v>
      </c>
      <c r="G1562" s="560" t="s">
        <v>286</v>
      </c>
      <c r="H1562" s="566">
        <v>4.6002805049088362</v>
      </c>
      <c r="I1562" s="567" t="s">
        <v>489</v>
      </c>
      <c r="J1562" s="568" t="s">
        <v>288</v>
      </c>
      <c r="L1562" s="373">
        <v>1</v>
      </c>
    </row>
    <row r="1563" spans="1:12">
      <c r="A1563" s="565">
        <v>1558</v>
      </c>
      <c r="B1563" s="560" t="s">
        <v>278</v>
      </c>
      <c r="C1563" s="560" t="s">
        <v>510</v>
      </c>
      <c r="D1563" s="560" t="s">
        <v>292</v>
      </c>
      <c r="E1563" s="560">
        <v>131</v>
      </c>
      <c r="F1563" s="560">
        <v>4</v>
      </c>
      <c r="G1563" s="560" t="s">
        <v>286</v>
      </c>
      <c r="H1563" s="566">
        <v>3.6746143057503509</v>
      </c>
      <c r="I1563" s="567" t="s">
        <v>288</v>
      </c>
      <c r="J1563" s="568" t="s">
        <v>288</v>
      </c>
      <c r="L1563" s="373">
        <v>1</v>
      </c>
    </row>
    <row r="1564" spans="1:12" ht="21">
      <c r="A1564" s="565">
        <v>1559</v>
      </c>
      <c r="B1564" s="560" t="s">
        <v>278</v>
      </c>
      <c r="C1564" s="560" t="s">
        <v>510</v>
      </c>
      <c r="D1564" s="560" t="s">
        <v>293</v>
      </c>
      <c r="E1564" s="560">
        <v>152</v>
      </c>
      <c r="F1564" s="560">
        <v>5</v>
      </c>
      <c r="G1564" s="560" t="s">
        <v>286</v>
      </c>
      <c r="H1564" s="566">
        <v>4.2636746143057502</v>
      </c>
      <c r="I1564" s="567" t="s">
        <v>489</v>
      </c>
      <c r="J1564" s="568" t="s">
        <v>474</v>
      </c>
      <c r="L1564" s="373">
        <v>1</v>
      </c>
    </row>
    <row r="1565" spans="1:12">
      <c r="A1565" s="565">
        <v>1560</v>
      </c>
      <c r="B1565" s="560" t="s">
        <v>278</v>
      </c>
      <c r="C1565" s="560" t="s">
        <v>510</v>
      </c>
      <c r="D1565" s="560" t="s">
        <v>292</v>
      </c>
      <c r="E1565" s="560">
        <v>128</v>
      </c>
      <c r="F1565" s="560">
        <v>4</v>
      </c>
      <c r="G1565" s="560" t="s">
        <v>286</v>
      </c>
      <c r="H1565" s="566">
        <v>3.5904628330995796</v>
      </c>
      <c r="I1565" s="567" t="s">
        <v>464</v>
      </c>
      <c r="J1565" s="568" t="s">
        <v>288</v>
      </c>
      <c r="L1565" s="373">
        <v>1</v>
      </c>
    </row>
    <row r="1566" spans="1:12" ht="21">
      <c r="A1566" s="565">
        <v>1561</v>
      </c>
      <c r="B1566" s="560" t="s">
        <v>278</v>
      </c>
      <c r="C1566" s="560" t="s">
        <v>510</v>
      </c>
      <c r="D1566" s="560" t="s">
        <v>291</v>
      </c>
      <c r="E1566" s="560">
        <v>147</v>
      </c>
      <c r="F1566" s="560">
        <v>3</v>
      </c>
      <c r="G1566" s="560" t="s">
        <v>286</v>
      </c>
      <c r="H1566" s="566">
        <v>4.1234221598877978</v>
      </c>
      <c r="I1566" s="567" t="s">
        <v>489</v>
      </c>
      <c r="J1566" s="568" t="s">
        <v>288</v>
      </c>
      <c r="L1566" s="373">
        <v>1</v>
      </c>
    </row>
    <row r="1567" spans="1:12" ht="21">
      <c r="A1567" s="565">
        <v>1562</v>
      </c>
      <c r="B1567" s="560" t="s">
        <v>278</v>
      </c>
      <c r="C1567" s="560" t="s">
        <v>510</v>
      </c>
      <c r="D1567" s="560" t="s">
        <v>291</v>
      </c>
      <c r="E1567" s="560">
        <v>152</v>
      </c>
      <c r="F1567" s="560">
        <v>4</v>
      </c>
      <c r="G1567" s="560" t="s">
        <v>286</v>
      </c>
      <c r="H1567" s="566">
        <v>4.2636746143057502</v>
      </c>
      <c r="I1567" s="567" t="s">
        <v>489</v>
      </c>
      <c r="J1567" s="568" t="s">
        <v>288</v>
      </c>
      <c r="L1567" s="373">
        <v>1</v>
      </c>
    </row>
    <row r="1568" spans="1:12">
      <c r="A1568" s="565">
        <v>1563</v>
      </c>
      <c r="B1568" s="560" t="s">
        <v>278</v>
      </c>
      <c r="C1568" s="560" t="s">
        <v>510</v>
      </c>
      <c r="D1568" s="560" t="s">
        <v>291</v>
      </c>
      <c r="E1568" s="560">
        <v>196</v>
      </c>
      <c r="F1568" s="560">
        <v>8</v>
      </c>
      <c r="G1568" s="560" t="s">
        <v>286</v>
      </c>
      <c r="H1568" s="566">
        <v>5.497896213183731</v>
      </c>
      <c r="I1568" s="567" t="s">
        <v>499</v>
      </c>
      <c r="J1568" s="568" t="s">
        <v>500</v>
      </c>
      <c r="L1568" s="373">
        <v>1</v>
      </c>
    </row>
    <row r="1569" spans="1:12">
      <c r="A1569" s="565">
        <v>1564</v>
      </c>
      <c r="B1569" s="560" t="s">
        <v>278</v>
      </c>
      <c r="C1569" s="560" t="s">
        <v>510</v>
      </c>
      <c r="D1569" s="560" t="s">
        <v>291</v>
      </c>
      <c r="E1569" s="560">
        <v>137</v>
      </c>
      <c r="F1569" s="560">
        <v>3</v>
      </c>
      <c r="G1569" s="560" t="s">
        <v>286</v>
      </c>
      <c r="H1569" s="566">
        <v>3.8429172510518934</v>
      </c>
      <c r="I1569" s="567" t="s">
        <v>499</v>
      </c>
      <c r="J1569" s="568" t="s">
        <v>288</v>
      </c>
      <c r="L1569" s="373">
        <v>1</v>
      </c>
    </row>
    <row r="1570" spans="1:12">
      <c r="A1570" s="565">
        <v>1565</v>
      </c>
      <c r="B1570" s="560" t="s">
        <v>278</v>
      </c>
      <c r="C1570" s="560" t="s">
        <v>510</v>
      </c>
      <c r="D1570" s="560" t="s">
        <v>291</v>
      </c>
      <c r="E1570" s="560">
        <v>158</v>
      </c>
      <c r="F1570" s="560">
        <v>6</v>
      </c>
      <c r="G1570" s="560" t="s">
        <v>286</v>
      </c>
      <c r="H1570" s="566">
        <v>4.4319775596072937</v>
      </c>
      <c r="I1570" s="567" t="s">
        <v>288</v>
      </c>
      <c r="J1570" s="568" t="s">
        <v>288</v>
      </c>
      <c r="L1570" s="373">
        <v>1</v>
      </c>
    </row>
    <row r="1571" spans="1:12">
      <c r="A1571" s="565">
        <v>1566</v>
      </c>
      <c r="B1571" s="560" t="s">
        <v>278</v>
      </c>
      <c r="C1571" s="560" t="s">
        <v>510</v>
      </c>
      <c r="D1571" s="560" t="s">
        <v>291</v>
      </c>
      <c r="E1571" s="560">
        <v>129</v>
      </c>
      <c r="F1571" s="560">
        <v>3</v>
      </c>
      <c r="G1571" s="560" t="s">
        <v>286</v>
      </c>
      <c r="H1571" s="566">
        <v>3.6185133239831697</v>
      </c>
      <c r="I1571" s="567" t="s">
        <v>464</v>
      </c>
      <c r="J1571" s="568" t="s">
        <v>288</v>
      </c>
      <c r="L1571" s="373">
        <v>1</v>
      </c>
    </row>
    <row r="1572" spans="1:12">
      <c r="A1572" s="565">
        <v>1567</v>
      </c>
      <c r="B1572" s="560" t="s">
        <v>278</v>
      </c>
      <c r="C1572" s="560" t="s">
        <v>510</v>
      </c>
      <c r="D1572" s="560" t="s">
        <v>292</v>
      </c>
      <c r="E1572" s="560">
        <v>122</v>
      </c>
      <c r="F1572" s="560">
        <v>3</v>
      </c>
      <c r="G1572" s="560" t="s">
        <v>286</v>
      </c>
      <c r="H1572" s="566">
        <v>3.4221598877980366</v>
      </c>
      <c r="I1572" s="567" t="s">
        <v>288</v>
      </c>
      <c r="J1572" s="568" t="s">
        <v>288</v>
      </c>
      <c r="L1572" s="373">
        <v>1</v>
      </c>
    </row>
    <row r="1573" spans="1:12">
      <c r="A1573" s="565">
        <v>1568</v>
      </c>
      <c r="B1573" s="560" t="s">
        <v>278</v>
      </c>
      <c r="C1573" s="560" t="s">
        <v>510</v>
      </c>
      <c r="D1573" s="560" t="s">
        <v>292</v>
      </c>
      <c r="E1573" s="560">
        <v>143</v>
      </c>
      <c r="F1573" s="560">
        <v>5</v>
      </c>
      <c r="G1573" s="560" t="s">
        <v>286</v>
      </c>
      <c r="H1573" s="566">
        <v>4.0112201963534364</v>
      </c>
      <c r="I1573" s="567" t="s">
        <v>288</v>
      </c>
      <c r="J1573" s="568" t="s">
        <v>288</v>
      </c>
      <c r="L1573" s="373">
        <v>1</v>
      </c>
    </row>
    <row r="1574" spans="1:12">
      <c r="A1574" s="565">
        <v>1569</v>
      </c>
      <c r="B1574" s="560" t="s">
        <v>277</v>
      </c>
      <c r="C1574" s="560" t="s">
        <v>510</v>
      </c>
      <c r="D1574" s="560" t="s">
        <v>291</v>
      </c>
      <c r="E1574" s="560">
        <v>183</v>
      </c>
      <c r="F1574" s="560">
        <v>7</v>
      </c>
      <c r="G1574" s="560" t="s">
        <v>286</v>
      </c>
      <c r="H1574" s="566">
        <v>5.1332398316970549</v>
      </c>
      <c r="I1574" s="567" t="s">
        <v>464</v>
      </c>
      <c r="J1574" s="568" t="s">
        <v>288</v>
      </c>
      <c r="L1574" s="373">
        <v>1</v>
      </c>
    </row>
    <row r="1575" spans="1:12" ht="21">
      <c r="A1575" s="565">
        <v>1570</v>
      </c>
      <c r="B1575" s="560" t="s">
        <v>278</v>
      </c>
      <c r="C1575" s="560" t="s">
        <v>510</v>
      </c>
      <c r="D1575" s="560" t="s">
        <v>291</v>
      </c>
      <c r="E1575" s="560">
        <v>127</v>
      </c>
      <c r="F1575" s="560">
        <v>4</v>
      </c>
      <c r="G1575" s="560" t="s">
        <v>286</v>
      </c>
      <c r="H1575" s="566">
        <v>3.562412342215989</v>
      </c>
      <c r="I1575" s="567" t="s">
        <v>464</v>
      </c>
      <c r="J1575" s="568" t="s">
        <v>506</v>
      </c>
      <c r="L1575" s="373">
        <v>1</v>
      </c>
    </row>
    <row r="1576" spans="1:12">
      <c r="A1576" s="565">
        <v>1571</v>
      </c>
      <c r="B1576" s="560" t="s">
        <v>278</v>
      </c>
      <c r="C1576" s="560" t="s">
        <v>510</v>
      </c>
      <c r="D1576" s="560" t="s">
        <v>291</v>
      </c>
      <c r="E1576" s="560">
        <v>152</v>
      </c>
      <c r="F1576" s="560">
        <v>5</v>
      </c>
      <c r="G1576" s="560" t="s">
        <v>286</v>
      </c>
      <c r="H1576" s="566">
        <v>4.2636746143057502</v>
      </c>
      <c r="I1576" s="567" t="s">
        <v>288</v>
      </c>
      <c r="J1576" s="568" t="s">
        <v>288</v>
      </c>
      <c r="L1576" s="373">
        <v>1</v>
      </c>
    </row>
    <row r="1577" spans="1:12">
      <c r="A1577" s="565">
        <v>1572</v>
      </c>
      <c r="B1577" s="560" t="s">
        <v>278</v>
      </c>
      <c r="C1577" s="560" t="s">
        <v>510</v>
      </c>
      <c r="D1577" s="560" t="s">
        <v>292</v>
      </c>
      <c r="E1577" s="560">
        <v>98</v>
      </c>
      <c r="F1577" s="560">
        <v>3</v>
      </c>
      <c r="G1577" s="560" t="s">
        <v>286</v>
      </c>
      <c r="H1577" s="566">
        <v>2.7489481065918655</v>
      </c>
      <c r="I1577" s="567" t="s">
        <v>288</v>
      </c>
      <c r="J1577" s="568" t="s">
        <v>288</v>
      </c>
      <c r="L1577" s="373">
        <v>1</v>
      </c>
    </row>
    <row r="1578" spans="1:12">
      <c r="A1578" s="565">
        <v>1573</v>
      </c>
      <c r="B1578" s="560" t="s">
        <v>278</v>
      </c>
      <c r="C1578" s="560" t="s">
        <v>510</v>
      </c>
      <c r="D1578" s="560" t="s">
        <v>292</v>
      </c>
      <c r="E1578" s="560">
        <v>112</v>
      </c>
      <c r="F1578" s="560">
        <v>2</v>
      </c>
      <c r="G1578" s="560" t="s">
        <v>286</v>
      </c>
      <c r="H1578" s="566">
        <v>3.1416549789621318</v>
      </c>
      <c r="I1578" s="567" t="s">
        <v>288</v>
      </c>
      <c r="J1578" s="568" t="s">
        <v>288</v>
      </c>
      <c r="L1578" s="373">
        <v>1</v>
      </c>
    </row>
    <row r="1579" spans="1:12">
      <c r="A1579" s="565">
        <v>1574</v>
      </c>
      <c r="B1579" s="560" t="s">
        <v>278</v>
      </c>
      <c r="C1579" s="560" t="s">
        <v>510</v>
      </c>
      <c r="D1579" s="560" t="s">
        <v>290</v>
      </c>
      <c r="E1579" s="560">
        <v>132</v>
      </c>
      <c r="F1579" s="560">
        <v>3</v>
      </c>
      <c r="G1579" s="560" t="s">
        <v>286</v>
      </c>
      <c r="H1579" s="566">
        <v>3.7026647966339414</v>
      </c>
      <c r="I1579" s="567" t="s">
        <v>288</v>
      </c>
      <c r="J1579" s="568" t="s">
        <v>288</v>
      </c>
      <c r="L1579" s="373">
        <v>1</v>
      </c>
    </row>
    <row r="1580" spans="1:12" ht="21">
      <c r="A1580" s="565">
        <v>1575</v>
      </c>
      <c r="B1580" s="560" t="s">
        <v>278</v>
      </c>
      <c r="C1580" s="560" t="s">
        <v>510</v>
      </c>
      <c r="D1580" s="560" t="s">
        <v>291</v>
      </c>
      <c r="E1580" s="560">
        <v>119</v>
      </c>
      <c r="F1580" s="560">
        <v>3</v>
      </c>
      <c r="G1580" s="560" t="s">
        <v>286</v>
      </c>
      <c r="H1580" s="566">
        <v>3.3380084151472653</v>
      </c>
      <c r="I1580" s="567" t="s">
        <v>489</v>
      </c>
      <c r="J1580" s="568" t="s">
        <v>288</v>
      </c>
      <c r="L1580" s="373">
        <v>1</v>
      </c>
    </row>
    <row r="1581" spans="1:12">
      <c r="A1581" s="565">
        <v>1576</v>
      </c>
      <c r="B1581" s="560" t="s">
        <v>278</v>
      </c>
      <c r="C1581" s="560" t="s">
        <v>510</v>
      </c>
      <c r="D1581" s="560" t="s">
        <v>292</v>
      </c>
      <c r="E1581" s="560">
        <v>157</v>
      </c>
      <c r="F1581" s="560">
        <v>6</v>
      </c>
      <c r="G1581" s="560" t="s">
        <v>286</v>
      </c>
      <c r="H1581" s="566">
        <v>4.4039270687237027</v>
      </c>
      <c r="I1581" s="567" t="s">
        <v>288</v>
      </c>
      <c r="J1581" s="568" t="s">
        <v>288</v>
      </c>
      <c r="L1581" s="373">
        <v>1</v>
      </c>
    </row>
    <row r="1582" spans="1:12">
      <c r="A1582" s="565">
        <v>1577</v>
      </c>
      <c r="B1582" s="560" t="s">
        <v>278</v>
      </c>
      <c r="C1582" s="560" t="s">
        <v>510</v>
      </c>
      <c r="D1582" s="560" t="s">
        <v>291</v>
      </c>
      <c r="E1582" s="560">
        <v>152</v>
      </c>
      <c r="F1582" s="560">
        <v>5</v>
      </c>
      <c r="G1582" s="560" t="s">
        <v>286</v>
      </c>
      <c r="H1582" s="566">
        <v>4.2636746143057502</v>
      </c>
      <c r="I1582" s="567" t="s">
        <v>288</v>
      </c>
      <c r="J1582" s="568" t="s">
        <v>288</v>
      </c>
      <c r="L1582" s="373">
        <v>1</v>
      </c>
    </row>
    <row r="1583" spans="1:12">
      <c r="A1583" s="565">
        <v>1578</v>
      </c>
      <c r="B1583" s="560" t="s">
        <v>278</v>
      </c>
      <c r="C1583" s="560" t="s">
        <v>510</v>
      </c>
      <c r="D1583" s="560" t="s">
        <v>292</v>
      </c>
      <c r="E1583" s="560">
        <v>141</v>
      </c>
      <c r="F1583" s="560">
        <v>4</v>
      </c>
      <c r="G1583" s="560" t="s">
        <v>286</v>
      </c>
      <c r="H1583" s="566">
        <v>3.9551192145862553</v>
      </c>
      <c r="I1583" s="567" t="s">
        <v>288</v>
      </c>
      <c r="J1583" s="568" t="s">
        <v>288</v>
      </c>
      <c r="L1583" s="373">
        <v>1</v>
      </c>
    </row>
    <row r="1584" spans="1:12">
      <c r="A1584" s="565">
        <v>1579</v>
      </c>
      <c r="B1584" s="560" t="s">
        <v>278</v>
      </c>
      <c r="C1584" s="560" t="s">
        <v>510</v>
      </c>
      <c r="D1584" s="560" t="s">
        <v>292</v>
      </c>
      <c r="E1584" s="560">
        <v>138</v>
      </c>
      <c r="F1584" s="560">
        <v>3</v>
      </c>
      <c r="G1584" s="560" t="s">
        <v>286</v>
      </c>
      <c r="H1584" s="566">
        <v>3.870967741935484</v>
      </c>
      <c r="I1584" s="567" t="s">
        <v>288</v>
      </c>
      <c r="J1584" s="568" t="s">
        <v>288</v>
      </c>
      <c r="L1584" s="373">
        <v>1</v>
      </c>
    </row>
    <row r="1585" spans="1:12">
      <c r="A1585" s="565">
        <v>1580</v>
      </c>
      <c r="B1585" s="560" t="s">
        <v>278</v>
      </c>
      <c r="C1585" s="560" t="s">
        <v>510</v>
      </c>
      <c r="D1585" s="560" t="s">
        <v>292</v>
      </c>
      <c r="E1585" s="560">
        <v>147</v>
      </c>
      <c r="F1585" s="560">
        <v>5</v>
      </c>
      <c r="G1585" s="560" t="s">
        <v>286</v>
      </c>
      <c r="H1585" s="566">
        <v>4.1234221598877978</v>
      </c>
      <c r="I1585" s="567" t="s">
        <v>288</v>
      </c>
      <c r="J1585" s="568" t="s">
        <v>288</v>
      </c>
      <c r="L1585" s="373">
        <v>1</v>
      </c>
    </row>
    <row r="1586" spans="1:12">
      <c r="A1586" s="565">
        <v>1581</v>
      </c>
      <c r="B1586" s="560" t="s">
        <v>278</v>
      </c>
      <c r="C1586" s="560" t="s">
        <v>510</v>
      </c>
      <c r="D1586" s="560" t="s">
        <v>291</v>
      </c>
      <c r="E1586" s="560">
        <v>110</v>
      </c>
      <c r="F1586" s="560">
        <v>2</v>
      </c>
      <c r="G1586" s="560" t="s">
        <v>286</v>
      </c>
      <c r="H1586" s="566">
        <v>3.085553997194951</v>
      </c>
      <c r="I1586" s="567" t="s">
        <v>288</v>
      </c>
      <c r="J1586" s="568" t="s">
        <v>288</v>
      </c>
      <c r="L1586" s="373">
        <v>1</v>
      </c>
    </row>
    <row r="1587" spans="1:12">
      <c r="A1587" s="565">
        <v>1582</v>
      </c>
      <c r="B1587" s="560" t="s">
        <v>278</v>
      </c>
      <c r="C1587" s="560" t="s">
        <v>510</v>
      </c>
      <c r="D1587" s="560" t="s">
        <v>292</v>
      </c>
      <c r="E1587" s="560">
        <v>97</v>
      </c>
      <c r="F1587" s="560">
        <v>3</v>
      </c>
      <c r="G1587" s="560" t="s">
        <v>286</v>
      </c>
      <c r="H1587" s="566">
        <v>2.7208976157082749</v>
      </c>
      <c r="I1587" s="567" t="s">
        <v>288</v>
      </c>
      <c r="J1587" s="568" t="s">
        <v>288</v>
      </c>
      <c r="L1587" s="373">
        <v>1</v>
      </c>
    </row>
    <row r="1588" spans="1:12">
      <c r="A1588" s="565">
        <v>1583</v>
      </c>
      <c r="B1588" s="560" t="s">
        <v>278</v>
      </c>
      <c r="C1588" s="560" t="s">
        <v>510</v>
      </c>
      <c r="D1588" s="560" t="s">
        <v>291</v>
      </c>
      <c r="E1588" s="560">
        <v>152</v>
      </c>
      <c r="F1588" s="560">
        <v>4</v>
      </c>
      <c r="G1588" s="560" t="s">
        <v>286</v>
      </c>
      <c r="H1588" s="566">
        <v>4.2636746143057502</v>
      </c>
      <c r="I1588" s="567" t="s">
        <v>288</v>
      </c>
      <c r="J1588" s="568" t="s">
        <v>468</v>
      </c>
      <c r="L1588" s="373">
        <v>1</v>
      </c>
    </row>
    <row r="1589" spans="1:12">
      <c r="A1589" s="565">
        <v>1584</v>
      </c>
      <c r="B1589" s="560" t="s">
        <v>278</v>
      </c>
      <c r="C1589" s="560" t="s">
        <v>510</v>
      </c>
      <c r="D1589" s="560" t="s">
        <v>292</v>
      </c>
      <c r="E1589" s="560">
        <v>148</v>
      </c>
      <c r="F1589" s="560">
        <v>5</v>
      </c>
      <c r="G1589" s="560" t="s">
        <v>286</v>
      </c>
      <c r="H1589" s="566">
        <v>4.1514726507713888</v>
      </c>
      <c r="I1589" s="567" t="s">
        <v>288</v>
      </c>
      <c r="J1589" s="568" t="s">
        <v>288</v>
      </c>
      <c r="L1589" s="373">
        <v>1</v>
      </c>
    </row>
    <row r="1590" spans="1:12">
      <c r="A1590" s="565">
        <v>1585</v>
      </c>
      <c r="B1590" s="560" t="s">
        <v>278</v>
      </c>
      <c r="C1590" s="560" t="s">
        <v>510</v>
      </c>
      <c r="D1590" s="560" t="s">
        <v>292</v>
      </c>
      <c r="E1590" s="560">
        <v>115</v>
      </c>
      <c r="F1590" s="560">
        <v>3</v>
      </c>
      <c r="G1590" s="560" t="s">
        <v>286</v>
      </c>
      <c r="H1590" s="566">
        <v>3.2258064516129035</v>
      </c>
      <c r="I1590" s="567" t="s">
        <v>288</v>
      </c>
      <c r="J1590" s="568" t="s">
        <v>288</v>
      </c>
      <c r="L1590" s="373">
        <v>1</v>
      </c>
    </row>
    <row r="1591" spans="1:12">
      <c r="A1591" s="565">
        <v>1586</v>
      </c>
      <c r="B1591" s="560" t="s">
        <v>278</v>
      </c>
      <c r="C1591" s="560" t="s">
        <v>510</v>
      </c>
      <c r="D1591" s="560" t="s">
        <v>292</v>
      </c>
      <c r="E1591" s="560">
        <v>116</v>
      </c>
      <c r="F1591" s="560">
        <v>2</v>
      </c>
      <c r="G1591" s="560" t="s">
        <v>34</v>
      </c>
      <c r="H1591" s="566">
        <v>1487.1794871794871</v>
      </c>
      <c r="I1591" s="567" t="s">
        <v>288</v>
      </c>
      <c r="J1591" s="568" t="s">
        <v>288</v>
      </c>
      <c r="L1591" s="373">
        <v>1</v>
      </c>
    </row>
    <row r="1592" spans="1:12">
      <c r="A1592" s="565">
        <v>1587</v>
      </c>
      <c r="B1592" s="560" t="s">
        <v>278</v>
      </c>
      <c r="C1592" s="560" t="s">
        <v>510</v>
      </c>
      <c r="D1592" s="560" t="s">
        <v>291</v>
      </c>
      <c r="E1592" s="560">
        <v>127</v>
      </c>
      <c r="F1592" s="560">
        <v>4</v>
      </c>
      <c r="G1592" s="560" t="s">
        <v>34</v>
      </c>
      <c r="H1592" s="566">
        <v>1628.2051282051282</v>
      </c>
      <c r="I1592" s="567" t="s">
        <v>288</v>
      </c>
      <c r="J1592" s="568" t="s">
        <v>288</v>
      </c>
      <c r="L1592" s="373">
        <v>1</v>
      </c>
    </row>
    <row r="1593" spans="1:12">
      <c r="A1593" s="565">
        <v>1588</v>
      </c>
      <c r="B1593" s="560" t="s">
        <v>278</v>
      </c>
      <c r="C1593" s="560" t="s">
        <v>510</v>
      </c>
      <c r="D1593" s="560" t="s">
        <v>292</v>
      </c>
      <c r="E1593" s="560">
        <v>132</v>
      </c>
      <c r="F1593" s="560">
        <v>3</v>
      </c>
      <c r="G1593" s="560" t="s">
        <v>34</v>
      </c>
      <c r="H1593" s="566">
        <v>1692.3076923076924</v>
      </c>
      <c r="I1593" s="567" t="s">
        <v>288</v>
      </c>
      <c r="J1593" s="568" t="s">
        <v>288</v>
      </c>
      <c r="L1593" s="373">
        <v>1</v>
      </c>
    </row>
    <row r="1594" spans="1:12">
      <c r="A1594" s="565">
        <v>1589</v>
      </c>
      <c r="B1594" s="560" t="s">
        <v>278</v>
      </c>
      <c r="C1594" s="560" t="s">
        <v>510</v>
      </c>
      <c r="D1594" s="560" t="s">
        <v>290</v>
      </c>
      <c r="E1594" s="560">
        <v>119</v>
      </c>
      <c r="F1594" s="560">
        <v>2</v>
      </c>
      <c r="G1594" s="560" t="s">
        <v>34</v>
      </c>
      <c r="H1594" s="566">
        <v>1525.6410256410256</v>
      </c>
      <c r="I1594" s="567" t="s">
        <v>288</v>
      </c>
      <c r="J1594" s="568" t="s">
        <v>288</v>
      </c>
      <c r="L1594" s="373">
        <v>1</v>
      </c>
    </row>
    <row r="1595" spans="1:12" ht="21">
      <c r="A1595" s="565">
        <v>1590</v>
      </c>
      <c r="B1595" s="560" t="s">
        <v>278</v>
      </c>
      <c r="C1595" s="560" t="s">
        <v>510</v>
      </c>
      <c r="D1595" s="560" t="s">
        <v>291</v>
      </c>
      <c r="E1595" s="560">
        <v>131</v>
      </c>
      <c r="F1595" s="560">
        <v>3</v>
      </c>
      <c r="G1595" s="560" t="s">
        <v>34</v>
      </c>
      <c r="H1595" s="566">
        <v>1679.4871794871794</v>
      </c>
      <c r="I1595" s="567" t="s">
        <v>489</v>
      </c>
      <c r="J1595" s="568" t="s">
        <v>288</v>
      </c>
      <c r="L1595" s="373">
        <v>1</v>
      </c>
    </row>
    <row r="1596" spans="1:12">
      <c r="A1596" s="565">
        <v>1591</v>
      </c>
      <c r="B1596" s="560" t="s">
        <v>278</v>
      </c>
      <c r="C1596" s="560" t="s">
        <v>510</v>
      </c>
      <c r="D1596" s="560" t="s">
        <v>292</v>
      </c>
      <c r="E1596" s="560">
        <v>189</v>
      </c>
      <c r="F1596" s="560">
        <v>11</v>
      </c>
      <c r="G1596" s="560" t="s">
        <v>34</v>
      </c>
      <c r="H1596" s="566">
        <v>2423.0769230769229</v>
      </c>
      <c r="I1596" s="567" t="s">
        <v>288</v>
      </c>
      <c r="J1596" s="568" t="s">
        <v>288</v>
      </c>
      <c r="L1596" s="373">
        <v>1</v>
      </c>
    </row>
    <row r="1597" spans="1:12">
      <c r="A1597" s="565">
        <v>1592</v>
      </c>
      <c r="B1597" s="560" t="s">
        <v>278</v>
      </c>
      <c r="C1597" s="560" t="s">
        <v>510</v>
      </c>
      <c r="D1597" s="560" t="s">
        <v>292</v>
      </c>
      <c r="E1597" s="560">
        <v>127</v>
      </c>
      <c r="F1597" s="560">
        <v>3</v>
      </c>
      <c r="G1597" s="560" t="s">
        <v>34</v>
      </c>
      <c r="H1597" s="566">
        <v>1628.2051282051282</v>
      </c>
      <c r="I1597" s="567" t="s">
        <v>288</v>
      </c>
      <c r="J1597" s="568" t="s">
        <v>288</v>
      </c>
      <c r="L1597" s="373">
        <v>1</v>
      </c>
    </row>
    <row r="1598" spans="1:12">
      <c r="A1598" s="565">
        <v>1593</v>
      </c>
      <c r="B1598" s="560" t="s">
        <v>278</v>
      </c>
      <c r="C1598" s="560" t="s">
        <v>510</v>
      </c>
      <c r="D1598" s="560" t="s">
        <v>291</v>
      </c>
      <c r="E1598" s="560">
        <v>122</v>
      </c>
      <c r="F1598" s="560">
        <v>4</v>
      </c>
      <c r="G1598" s="560" t="s">
        <v>34</v>
      </c>
      <c r="H1598" s="566">
        <v>1564.1025641025642</v>
      </c>
      <c r="I1598" s="567" t="s">
        <v>464</v>
      </c>
      <c r="J1598" s="568" t="s">
        <v>288</v>
      </c>
      <c r="L1598" s="373">
        <v>1</v>
      </c>
    </row>
    <row r="1599" spans="1:12">
      <c r="A1599" s="565">
        <v>1594</v>
      </c>
      <c r="B1599" s="560" t="s">
        <v>278</v>
      </c>
      <c r="C1599" s="560" t="s">
        <v>510</v>
      </c>
      <c r="D1599" s="560" t="s">
        <v>291</v>
      </c>
      <c r="E1599" s="560">
        <v>124</v>
      </c>
      <c r="F1599" s="560">
        <v>5</v>
      </c>
      <c r="G1599" s="560" t="s">
        <v>34</v>
      </c>
      <c r="H1599" s="566">
        <v>1589.7435897435898</v>
      </c>
      <c r="I1599" s="567" t="s">
        <v>464</v>
      </c>
      <c r="J1599" s="568" t="s">
        <v>288</v>
      </c>
      <c r="L1599" s="373">
        <v>1</v>
      </c>
    </row>
    <row r="1600" spans="1:12" ht="21">
      <c r="A1600" s="565">
        <v>1595</v>
      </c>
      <c r="B1600" s="560" t="s">
        <v>278</v>
      </c>
      <c r="C1600" s="560" t="s">
        <v>510</v>
      </c>
      <c r="D1600" s="560" t="s">
        <v>291</v>
      </c>
      <c r="E1600" s="560">
        <v>135</v>
      </c>
      <c r="F1600" s="560">
        <v>3</v>
      </c>
      <c r="G1600" s="560" t="s">
        <v>34</v>
      </c>
      <c r="H1600" s="566">
        <v>1730.7692307692307</v>
      </c>
      <c r="I1600" s="567" t="s">
        <v>489</v>
      </c>
      <c r="J1600" s="568" t="s">
        <v>288</v>
      </c>
      <c r="L1600" s="373">
        <v>1</v>
      </c>
    </row>
    <row r="1601" spans="1:12">
      <c r="A1601" s="565">
        <v>1596</v>
      </c>
      <c r="B1601" s="560" t="s">
        <v>278</v>
      </c>
      <c r="C1601" s="560" t="s">
        <v>510</v>
      </c>
      <c r="D1601" s="560" t="s">
        <v>291</v>
      </c>
      <c r="E1601" s="560">
        <v>153</v>
      </c>
      <c r="F1601" s="560">
        <v>5</v>
      </c>
      <c r="G1601" s="560" t="s">
        <v>286</v>
      </c>
      <c r="H1601" s="566">
        <v>4.2917251051893412</v>
      </c>
      <c r="I1601" s="567" t="s">
        <v>288</v>
      </c>
      <c r="J1601" s="568" t="s">
        <v>288</v>
      </c>
      <c r="L1601" s="373">
        <v>1</v>
      </c>
    </row>
    <row r="1602" spans="1:12">
      <c r="A1602" s="565">
        <v>1597</v>
      </c>
      <c r="B1602" s="560" t="s">
        <v>278</v>
      </c>
      <c r="C1602" s="560" t="s">
        <v>510</v>
      </c>
      <c r="D1602" s="560" t="s">
        <v>292</v>
      </c>
      <c r="E1602" s="560">
        <v>132</v>
      </c>
      <c r="F1602" s="560">
        <v>4</v>
      </c>
      <c r="G1602" s="560" t="s">
        <v>286</v>
      </c>
      <c r="H1602" s="566">
        <v>3.7026647966339414</v>
      </c>
      <c r="I1602" s="567" t="s">
        <v>464</v>
      </c>
      <c r="J1602" s="568" t="s">
        <v>288</v>
      </c>
      <c r="L1602" s="373">
        <v>1</v>
      </c>
    </row>
    <row r="1603" spans="1:12">
      <c r="A1603" s="565">
        <v>1598</v>
      </c>
      <c r="B1603" s="560" t="s">
        <v>278</v>
      </c>
      <c r="C1603" s="560" t="s">
        <v>510</v>
      </c>
      <c r="D1603" s="560" t="s">
        <v>291</v>
      </c>
      <c r="E1603" s="560">
        <v>129</v>
      </c>
      <c r="F1603" s="560">
        <v>3</v>
      </c>
      <c r="G1603" s="560" t="s">
        <v>286</v>
      </c>
      <c r="H1603" s="566">
        <v>3.6185133239831697</v>
      </c>
      <c r="I1603" s="567" t="s">
        <v>464</v>
      </c>
      <c r="J1603" s="568" t="s">
        <v>288</v>
      </c>
      <c r="L1603" s="373">
        <v>1</v>
      </c>
    </row>
    <row r="1604" spans="1:12">
      <c r="A1604" s="565">
        <v>1599</v>
      </c>
      <c r="B1604" s="560" t="s">
        <v>278</v>
      </c>
      <c r="C1604" s="560" t="s">
        <v>510</v>
      </c>
      <c r="D1604" s="560" t="s">
        <v>291</v>
      </c>
      <c r="E1604" s="560">
        <v>142</v>
      </c>
      <c r="F1604" s="560">
        <v>3</v>
      </c>
      <c r="G1604" s="560" t="s">
        <v>286</v>
      </c>
      <c r="H1604" s="566">
        <v>3.9831697054698458</v>
      </c>
      <c r="I1604" s="567" t="s">
        <v>288</v>
      </c>
      <c r="J1604" s="568" t="s">
        <v>288</v>
      </c>
      <c r="L1604" s="373">
        <v>1</v>
      </c>
    </row>
    <row r="1605" spans="1:12">
      <c r="A1605" s="565">
        <v>1600</v>
      </c>
      <c r="B1605" s="560" t="s">
        <v>278</v>
      </c>
      <c r="C1605" s="560" t="s">
        <v>510</v>
      </c>
      <c r="D1605" s="560" t="s">
        <v>292</v>
      </c>
      <c r="E1605" s="560">
        <v>157</v>
      </c>
      <c r="F1605" s="560">
        <v>6</v>
      </c>
      <c r="G1605" s="560" t="s">
        <v>286</v>
      </c>
      <c r="H1605" s="566">
        <v>4.4039270687237027</v>
      </c>
      <c r="I1605" s="567" t="s">
        <v>288</v>
      </c>
      <c r="J1605" s="568" t="s">
        <v>288</v>
      </c>
      <c r="L1605" s="373">
        <v>1</v>
      </c>
    </row>
    <row r="1606" spans="1:12">
      <c r="A1606" s="565">
        <v>1601</v>
      </c>
      <c r="B1606" s="560" t="s">
        <v>278</v>
      </c>
      <c r="C1606" s="560" t="s">
        <v>510</v>
      </c>
      <c r="D1606" s="560" t="s">
        <v>291</v>
      </c>
      <c r="E1606" s="560">
        <v>152</v>
      </c>
      <c r="F1606" s="560">
        <v>5</v>
      </c>
      <c r="G1606" s="560" t="s">
        <v>286</v>
      </c>
      <c r="H1606" s="566">
        <v>4.2636746143057502</v>
      </c>
      <c r="I1606" s="567" t="s">
        <v>288</v>
      </c>
      <c r="J1606" s="568" t="s">
        <v>288</v>
      </c>
      <c r="L1606" s="373">
        <v>1</v>
      </c>
    </row>
    <row r="1607" spans="1:12">
      <c r="A1607" s="565">
        <v>1602</v>
      </c>
      <c r="B1607" s="560" t="s">
        <v>278</v>
      </c>
      <c r="C1607" s="560" t="s">
        <v>510</v>
      </c>
      <c r="D1607" s="560" t="s">
        <v>292</v>
      </c>
      <c r="E1607" s="560">
        <v>141</v>
      </c>
      <c r="F1607" s="560">
        <v>4</v>
      </c>
      <c r="G1607" s="560" t="s">
        <v>286</v>
      </c>
      <c r="H1607" s="566">
        <v>3.9551192145862553</v>
      </c>
      <c r="I1607" s="567" t="s">
        <v>288</v>
      </c>
      <c r="J1607" s="568" t="s">
        <v>288</v>
      </c>
      <c r="L1607" s="373">
        <v>1</v>
      </c>
    </row>
    <row r="1608" spans="1:12">
      <c r="A1608" s="565">
        <v>1603</v>
      </c>
      <c r="B1608" s="560" t="s">
        <v>278</v>
      </c>
      <c r="C1608" s="560" t="s">
        <v>510</v>
      </c>
      <c r="D1608" s="560" t="s">
        <v>292</v>
      </c>
      <c r="E1608" s="560">
        <v>138</v>
      </c>
      <c r="F1608" s="560">
        <v>3</v>
      </c>
      <c r="G1608" s="560" t="s">
        <v>286</v>
      </c>
      <c r="H1608" s="566">
        <v>3.870967741935484</v>
      </c>
      <c r="I1608" s="567" t="s">
        <v>288</v>
      </c>
      <c r="J1608" s="568" t="s">
        <v>288</v>
      </c>
      <c r="L1608" s="373">
        <v>1</v>
      </c>
    </row>
    <row r="1609" spans="1:12">
      <c r="A1609" s="565">
        <v>1604</v>
      </c>
      <c r="B1609" s="560" t="s">
        <v>278</v>
      </c>
      <c r="C1609" s="564" t="s">
        <v>534</v>
      </c>
      <c r="D1609" s="560" t="s">
        <v>292</v>
      </c>
      <c r="E1609" s="560">
        <v>147</v>
      </c>
      <c r="F1609" s="560">
        <v>5</v>
      </c>
      <c r="G1609" s="560" t="s">
        <v>286</v>
      </c>
      <c r="H1609" s="566">
        <v>4.1234221598877978</v>
      </c>
      <c r="I1609" s="567" t="s">
        <v>288</v>
      </c>
      <c r="J1609" s="568" t="s">
        <v>288</v>
      </c>
      <c r="L1609" s="373">
        <v>1</v>
      </c>
    </row>
    <row r="1610" spans="1:12">
      <c r="A1610" s="565">
        <v>1605</v>
      </c>
      <c r="B1610" s="560" t="s">
        <v>278</v>
      </c>
      <c r="C1610" s="564" t="s">
        <v>534</v>
      </c>
      <c r="D1610" s="560" t="s">
        <v>291</v>
      </c>
      <c r="E1610" s="560">
        <v>110</v>
      </c>
      <c r="F1610" s="560">
        <v>2</v>
      </c>
      <c r="G1610" s="560" t="s">
        <v>286</v>
      </c>
      <c r="H1610" s="566">
        <v>3.085553997194951</v>
      </c>
      <c r="I1610" s="567" t="s">
        <v>288</v>
      </c>
      <c r="J1610" s="568" t="s">
        <v>288</v>
      </c>
      <c r="L1610" s="373">
        <v>1</v>
      </c>
    </row>
    <row r="1611" spans="1:12">
      <c r="A1611" s="565">
        <v>1606</v>
      </c>
      <c r="B1611" s="560" t="s">
        <v>278</v>
      </c>
      <c r="C1611" s="564" t="s">
        <v>534</v>
      </c>
      <c r="D1611" s="560" t="s">
        <v>292</v>
      </c>
      <c r="E1611" s="560">
        <v>97</v>
      </c>
      <c r="F1611" s="560">
        <v>3</v>
      </c>
      <c r="G1611" s="560" t="s">
        <v>286</v>
      </c>
      <c r="H1611" s="566">
        <v>2.7208976157082749</v>
      </c>
      <c r="I1611" s="567" t="s">
        <v>288</v>
      </c>
      <c r="J1611" s="568" t="s">
        <v>288</v>
      </c>
      <c r="L1611" s="373">
        <v>1</v>
      </c>
    </row>
    <row r="1612" spans="1:12">
      <c r="A1612" s="565">
        <v>1607</v>
      </c>
      <c r="B1612" s="560" t="s">
        <v>278</v>
      </c>
      <c r="C1612" s="564" t="s">
        <v>534</v>
      </c>
      <c r="D1612" s="560" t="s">
        <v>291</v>
      </c>
      <c r="E1612" s="560">
        <v>152</v>
      </c>
      <c r="F1612" s="560">
        <v>4</v>
      </c>
      <c r="G1612" s="560" t="s">
        <v>286</v>
      </c>
      <c r="H1612" s="566">
        <v>4.2636746143057502</v>
      </c>
      <c r="I1612" s="567" t="s">
        <v>288</v>
      </c>
      <c r="J1612" s="568" t="s">
        <v>288</v>
      </c>
      <c r="L1612" s="373">
        <v>1</v>
      </c>
    </row>
    <row r="1613" spans="1:12">
      <c r="A1613" s="565">
        <v>1608</v>
      </c>
      <c r="B1613" s="560" t="s">
        <v>278</v>
      </c>
      <c r="C1613" s="564" t="s">
        <v>534</v>
      </c>
      <c r="D1613" s="560" t="s">
        <v>292</v>
      </c>
      <c r="E1613" s="560">
        <v>148</v>
      </c>
      <c r="F1613" s="560">
        <v>5</v>
      </c>
      <c r="G1613" s="560" t="s">
        <v>286</v>
      </c>
      <c r="H1613" s="566">
        <v>4.1514726507713888</v>
      </c>
      <c r="I1613" s="567" t="s">
        <v>288</v>
      </c>
      <c r="J1613" s="568" t="s">
        <v>288</v>
      </c>
      <c r="L1613" s="373">
        <v>1</v>
      </c>
    </row>
    <row r="1614" spans="1:12">
      <c r="A1614" s="565">
        <v>1609</v>
      </c>
      <c r="B1614" s="560" t="s">
        <v>278</v>
      </c>
      <c r="C1614" s="564" t="s">
        <v>534</v>
      </c>
      <c r="D1614" s="560" t="s">
        <v>292</v>
      </c>
      <c r="E1614" s="560">
        <v>115</v>
      </c>
      <c r="F1614" s="560">
        <v>3</v>
      </c>
      <c r="G1614" s="560" t="s">
        <v>286</v>
      </c>
      <c r="H1614" s="566">
        <v>3.2258064516129035</v>
      </c>
      <c r="I1614" s="567" t="s">
        <v>288</v>
      </c>
      <c r="J1614" s="568" t="s">
        <v>288</v>
      </c>
      <c r="L1614" s="373">
        <v>1</v>
      </c>
    </row>
    <row r="1615" spans="1:12">
      <c r="A1615" s="565">
        <v>1610</v>
      </c>
      <c r="B1615" s="560" t="s">
        <v>278</v>
      </c>
      <c r="C1615" s="564" t="s">
        <v>534</v>
      </c>
      <c r="D1615" s="560" t="s">
        <v>292</v>
      </c>
      <c r="E1615" s="560">
        <v>116</v>
      </c>
      <c r="F1615" s="560">
        <v>2</v>
      </c>
      <c r="G1615" s="560" t="s">
        <v>286</v>
      </c>
      <c r="H1615" s="566">
        <v>3.2538569424964936</v>
      </c>
      <c r="I1615" s="567" t="s">
        <v>288</v>
      </c>
      <c r="J1615" s="568" t="s">
        <v>288</v>
      </c>
      <c r="L1615" s="373">
        <v>1</v>
      </c>
    </row>
    <row r="1616" spans="1:12">
      <c r="A1616" s="565">
        <v>1611</v>
      </c>
      <c r="B1616" s="560" t="s">
        <v>278</v>
      </c>
      <c r="C1616" s="564" t="s">
        <v>534</v>
      </c>
      <c r="D1616" s="560" t="s">
        <v>291</v>
      </c>
      <c r="E1616" s="560">
        <v>127</v>
      </c>
      <c r="F1616" s="560">
        <v>4</v>
      </c>
      <c r="G1616" s="560" t="s">
        <v>286</v>
      </c>
      <c r="H1616" s="566">
        <v>3.562412342215989</v>
      </c>
      <c r="I1616" s="567" t="s">
        <v>288</v>
      </c>
      <c r="J1616" s="568" t="s">
        <v>288</v>
      </c>
      <c r="L1616" s="373">
        <v>1</v>
      </c>
    </row>
    <row r="1617" spans="1:12">
      <c r="A1617" s="565">
        <v>1612</v>
      </c>
      <c r="B1617" s="560" t="s">
        <v>278</v>
      </c>
      <c r="C1617" s="564" t="s">
        <v>534</v>
      </c>
      <c r="D1617" s="560" t="s">
        <v>292</v>
      </c>
      <c r="E1617" s="560">
        <v>132</v>
      </c>
      <c r="F1617" s="560">
        <v>3</v>
      </c>
      <c r="G1617" s="560" t="s">
        <v>286</v>
      </c>
      <c r="H1617" s="566">
        <v>3.7026647966339414</v>
      </c>
      <c r="I1617" s="567" t="s">
        <v>464</v>
      </c>
      <c r="J1617" s="568" t="s">
        <v>288</v>
      </c>
      <c r="L1617" s="373">
        <v>1</v>
      </c>
    </row>
    <row r="1618" spans="1:12" ht="21">
      <c r="A1618" s="565">
        <v>1613</v>
      </c>
      <c r="B1618" s="560" t="s">
        <v>278</v>
      </c>
      <c r="C1618" s="564" t="s">
        <v>534</v>
      </c>
      <c r="D1618" s="560" t="s">
        <v>290</v>
      </c>
      <c r="E1618" s="560">
        <v>119</v>
      </c>
      <c r="F1618" s="560">
        <v>2</v>
      </c>
      <c r="G1618" s="560" t="s">
        <v>286</v>
      </c>
      <c r="H1618" s="566">
        <v>3.3380084151472653</v>
      </c>
      <c r="I1618" s="567" t="s">
        <v>464</v>
      </c>
      <c r="J1618" s="568" t="s">
        <v>506</v>
      </c>
      <c r="L1618" s="373">
        <v>1</v>
      </c>
    </row>
    <row r="1619" spans="1:12">
      <c r="A1619" s="565">
        <v>1614</v>
      </c>
      <c r="B1619" s="560" t="s">
        <v>278</v>
      </c>
      <c r="C1619" s="564" t="s">
        <v>534</v>
      </c>
      <c r="D1619" s="560" t="s">
        <v>290</v>
      </c>
      <c r="E1619" s="560">
        <v>110</v>
      </c>
      <c r="F1619" s="560">
        <v>2</v>
      </c>
      <c r="G1619" s="560" t="s">
        <v>286</v>
      </c>
      <c r="H1619" s="566">
        <v>3.085553997194951</v>
      </c>
      <c r="I1619" s="567" t="s">
        <v>288</v>
      </c>
      <c r="J1619" s="568" t="s">
        <v>288</v>
      </c>
      <c r="L1619" s="373">
        <v>1</v>
      </c>
    </row>
    <row r="1620" spans="1:12">
      <c r="A1620" s="565">
        <v>1615</v>
      </c>
      <c r="B1620" s="560" t="s">
        <v>278</v>
      </c>
      <c r="C1620" s="564" t="s">
        <v>534</v>
      </c>
      <c r="D1620" s="560" t="s">
        <v>291</v>
      </c>
      <c r="E1620" s="560">
        <v>143</v>
      </c>
      <c r="F1620" s="560">
        <v>3</v>
      </c>
      <c r="G1620" s="560" t="s">
        <v>286</v>
      </c>
      <c r="H1620" s="566">
        <v>4.0112201963534364</v>
      </c>
      <c r="I1620" s="567" t="s">
        <v>499</v>
      </c>
      <c r="J1620" s="568" t="s">
        <v>288</v>
      </c>
      <c r="L1620" s="373">
        <v>1</v>
      </c>
    </row>
    <row r="1621" spans="1:12" ht="21">
      <c r="A1621" s="565">
        <v>1616</v>
      </c>
      <c r="B1621" s="560" t="s">
        <v>278</v>
      </c>
      <c r="C1621" s="564" t="s">
        <v>534</v>
      </c>
      <c r="D1621" s="560" t="s">
        <v>293</v>
      </c>
      <c r="E1621" s="560">
        <v>136</v>
      </c>
      <c r="F1621" s="560">
        <v>4</v>
      </c>
      <c r="G1621" s="560" t="s">
        <v>286</v>
      </c>
      <c r="H1621" s="566">
        <v>3.8148667601683033</v>
      </c>
      <c r="I1621" s="567" t="s">
        <v>489</v>
      </c>
      <c r="J1621" s="568" t="s">
        <v>474</v>
      </c>
      <c r="L1621" s="373">
        <v>1</v>
      </c>
    </row>
    <row r="1622" spans="1:12" ht="21">
      <c r="A1622" s="565">
        <v>1617</v>
      </c>
      <c r="B1622" s="560" t="s">
        <v>278</v>
      </c>
      <c r="C1622" s="564" t="s">
        <v>534</v>
      </c>
      <c r="D1622" s="560" t="s">
        <v>291</v>
      </c>
      <c r="E1622" s="560">
        <v>162</v>
      </c>
      <c r="F1622" s="560">
        <v>5</v>
      </c>
      <c r="G1622" s="560" t="s">
        <v>286</v>
      </c>
      <c r="H1622" s="566">
        <v>4.5441795231416551</v>
      </c>
      <c r="I1622" s="567" t="s">
        <v>489</v>
      </c>
      <c r="J1622" s="568" t="s">
        <v>288</v>
      </c>
      <c r="L1622" s="373">
        <v>1</v>
      </c>
    </row>
    <row r="1623" spans="1:12">
      <c r="A1623" s="565">
        <v>1618</v>
      </c>
      <c r="B1623" s="560" t="s">
        <v>278</v>
      </c>
      <c r="C1623" s="564" t="s">
        <v>534</v>
      </c>
      <c r="D1623" s="560" t="s">
        <v>292</v>
      </c>
      <c r="E1623" s="560">
        <v>112</v>
      </c>
      <c r="F1623" s="560">
        <v>2</v>
      </c>
      <c r="G1623" s="560" t="s">
        <v>286</v>
      </c>
      <c r="H1623" s="566">
        <v>3.1416549789621318</v>
      </c>
      <c r="I1623" s="567" t="s">
        <v>288</v>
      </c>
      <c r="J1623" s="568" t="s">
        <v>288</v>
      </c>
      <c r="L1623" s="373">
        <v>1</v>
      </c>
    </row>
    <row r="1624" spans="1:12">
      <c r="A1624" s="565">
        <v>1619</v>
      </c>
      <c r="B1624" s="560" t="s">
        <v>278</v>
      </c>
      <c r="C1624" s="564" t="s">
        <v>534</v>
      </c>
      <c r="D1624" s="560" t="s">
        <v>291</v>
      </c>
      <c r="E1624" s="560">
        <v>143</v>
      </c>
      <c r="F1624" s="560">
        <v>3</v>
      </c>
      <c r="G1624" s="560" t="s">
        <v>286</v>
      </c>
      <c r="H1624" s="566">
        <v>4.0112201963534364</v>
      </c>
      <c r="I1624" s="567" t="s">
        <v>464</v>
      </c>
      <c r="J1624" s="568" t="s">
        <v>288</v>
      </c>
      <c r="L1624" s="373">
        <v>1</v>
      </c>
    </row>
    <row r="1625" spans="1:12">
      <c r="A1625" s="565">
        <v>1620</v>
      </c>
      <c r="B1625" s="560" t="s">
        <v>278</v>
      </c>
      <c r="C1625" s="564" t="s">
        <v>534</v>
      </c>
      <c r="D1625" s="560" t="s">
        <v>291</v>
      </c>
      <c r="E1625" s="560">
        <v>158</v>
      </c>
      <c r="F1625" s="560">
        <v>5</v>
      </c>
      <c r="G1625" s="560" t="s">
        <v>286</v>
      </c>
      <c r="H1625" s="566">
        <v>4.4319775596072937</v>
      </c>
      <c r="I1625" s="567" t="s">
        <v>499</v>
      </c>
      <c r="J1625" s="568" t="s">
        <v>288</v>
      </c>
      <c r="L1625" s="373">
        <v>1</v>
      </c>
    </row>
    <row r="1626" spans="1:12">
      <c r="A1626" s="565">
        <v>1621</v>
      </c>
      <c r="B1626" s="560" t="s">
        <v>278</v>
      </c>
      <c r="C1626" s="564" t="s">
        <v>534</v>
      </c>
      <c r="D1626" s="560" t="s">
        <v>292</v>
      </c>
      <c r="E1626" s="560">
        <v>115</v>
      </c>
      <c r="F1626" s="560">
        <v>3</v>
      </c>
      <c r="G1626" s="560" t="s">
        <v>286</v>
      </c>
      <c r="H1626" s="566">
        <v>3.2258064516129035</v>
      </c>
      <c r="I1626" s="567" t="s">
        <v>464</v>
      </c>
      <c r="J1626" s="568" t="s">
        <v>288</v>
      </c>
      <c r="L1626" s="373">
        <v>1</v>
      </c>
    </row>
    <row r="1627" spans="1:12">
      <c r="A1627" s="565">
        <v>1622</v>
      </c>
      <c r="B1627" s="560" t="s">
        <v>278</v>
      </c>
      <c r="C1627" s="564" t="s">
        <v>534</v>
      </c>
      <c r="D1627" s="560" t="s">
        <v>291</v>
      </c>
      <c r="E1627" s="560">
        <v>133</v>
      </c>
      <c r="F1627" s="560">
        <v>3</v>
      </c>
      <c r="G1627" s="560" t="s">
        <v>286</v>
      </c>
      <c r="H1627" s="566">
        <v>3.7307152875175316</v>
      </c>
      <c r="I1627" s="567" t="s">
        <v>288</v>
      </c>
      <c r="J1627" s="568" t="s">
        <v>288</v>
      </c>
      <c r="L1627" s="373">
        <v>1</v>
      </c>
    </row>
    <row r="1628" spans="1:12">
      <c r="A1628" s="565">
        <v>1623</v>
      </c>
      <c r="B1628" s="560" t="s">
        <v>278</v>
      </c>
      <c r="C1628" s="564" t="s">
        <v>534</v>
      </c>
      <c r="D1628" s="560" t="s">
        <v>291</v>
      </c>
      <c r="E1628" s="560">
        <v>142</v>
      </c>
      <c r="F1628" s="560">
        <v>4</v>
      </c>
      <c r="G1628" s="560" t="s">
        <v>286</v>
      </c>
      <c r="H1628" s="566">
        <v>3.9831697054698458</v>
      </c>
      <c r="I1628" s="567" t="s">
        <v>464</v>
      </c>
      <c r="J1628" s="568" t="s">
        <v>288</v>
      </c>
      <c r="L1628" s="373">
        <v>1</v>
      </c>
    </row>
    <row r="1629" spans="1:12">
      <c r="A1629" s="565">
        <v>1624</v>
      </c>
      <c r="B1629" s="560" t="s">
        <v>278</v>
      </c>
      <c r="C1629" s="564" t="s">
        <v>534</v>
      </c>
      <c r="D1629" s="560" t="s">
        <v>292</v>
      </c>
      <c r="E1629" s="560">
        <v>156</v>
      </c>
      <c r="F1629" s="560">
        <v>5</v>
      </c>
      <c r="G1629" s="560" t="s">
        <v>286</v>
      </c>
      <c r="H1629" s="566">
        <v>4.3758765778401125</v>
      </c>
      <c r="I1629" s="567" t="s">
        <v>288</v>
      </c>
      <c r="J1629" s="568" t="s">
        <v>288</v>
      </c>
      <c r="L1629" s="373">
        <v>1</v>
      </c>
    </row>
    <row r="1630" spans="1:12" ht="21">
      <c r="A1630" s="565">
        <v>1625</v>
      </c>
      <c r="B1630" s="560" t="s">
        <v>278</v>
      </c>
      <c r="C1630" s="564" t="s">
        <v>534</v>
      </c>
      <c r="D1630" s="560" t="s">
        <v>291</v>
      </c>
      <c r="E1630" s="560">
        <v>168</v>
      </c>
      <c r="F1630" s="560">
        <v>7</v>
      </c>
      <c r="G1630" s="560" t="s">
        <v>286</v>
      </c>
      <c r="H1630" s="566">
        <v>4.7124824684431976</v>
      </c>
      <c r="I1630" s="567" t="s">
        <v>464</v>
      </c>
      <c r="J1630" s="568" t="s">
        <v>506</v>
      </c>
      <c r="L1630" s="373">
        <v>1</v>
      </c>
    </row>
    <row r="1631" spans="1:12">
      <c r="A1631" s="565">
        <v>1626</v>
      </c>
      <c r="B1631" s="560" t="s">
        <v>278</v>
      </c>
      <c r="C1631" s="564" t="s">
        <v>534</v>
      </c>
      <c r="D1631" s="560" t="s">
        <v>292</v>
      </c>
      <c r="E1631" s="560">
        <v>157</v>
      </c>
      <c r="F1631" s="560">
        <v>6</v>
      </c>
      <c r="G1631" s="560" t="s">
        <v>286</v>
      </c>
      <c r="H1631" s="566">
        <v>4.4039270687237027</v>
      </c>
      <c r="I1631" s="567" t="s">
        <v>464</v>
      </c>
      <c r="J1631" s="568" t="s">
        <v>288</v>
      </c>
      <c r="L1631" s="373">
        <v>1</v>
      </c>
    </row>
    <row r="1632" spans="1:12">
      <c r="A1632" s="565">
        <v>1627</v>
      </c>
      <c r="B1632" s="560" t="s">
        <v>278</v>
      </c>
      <c r="C1632" s="564" t="s">
        <v>534</v>
      </c>
      <c r="D1632" s="560" t="s">
        <v>291</v>
      </c>
      <c r="E1632" s="560">
        <v>152</v>
      </c>
      <c r="F1632" s="560">
        <v>5</v>
      </c>
      <c r="G1632" s="560" t="s">
        <v>286</v>
      </c>
      <c r="H1632" s="566">
        <v>4.2636746143057502</v>
      </c>
      <c r="I1632" s="567" t="s">
        <v>499</v>
      </c>
      <c r="J1632" s="568" t="s">
        <v>288</v>
      </c>
      <c r="L1632" s="373">
        <v>1</v>
      </c>
    </row>
    <row r="1633" spans="1:12">
      <c r="A1633" s="565">
        <v>1628</v>
      </c>
      <c r="B1633" s="560" t="s">
        <v>278</v>
      </c>
      <c r="C1633" s="564" t="s">
        <v>534</v>
      </c>
      <c r="D1633" s="560" t="s">
        <v>292</v>
      </c>
      <c r="E1633" s="560">
        <v>141</v>
      </c>
      <c r="F1633" s="560">
        <v>4</v>
      </c>
      <c r="G1633" s="560" t="s">
        <v>286</v>
      </c>
      <c r="H1633" s="566">
        <v>3.9551192145862553</v>
      </c>
      <c r="I1633" s="567" t="s">
        <v>464</v>
      </c>
      <c r="J1633" s="568" t="s">
        <v>288</v>
      </c>
      <c r="L1633" s="373">
        <v>1</v>
      </c>
    </row>
    <row r="1634" spans="1:12" ht="21">
      <c r="A1634" s="565">
        <v>1629</v>
      </c>
      <c r="B1634" s="560" t="s">
        <v>278</v>
      </c>
      <c r="C1634" s="564" t="s">
        <v>534</v>
      </c>
      <c r="D1634" s="560" t="s">
        <v>291</v>
      </c>
      <c r="E1634" s="560">
        <v>139</v>
      </c>
      <c r="F1634" s="560">
        <v>4</v>
      </c>
      <c r="G1634" s="560" t="s">
        <v>286</v>
      </c>
      <c r="H1634" s="566">
        <v>3.8990182328190746</v>
      </c>
      <c r="I1634" s="567" t="s">
        <v>489</v>
      </c>
      <c r="J1634" s="568" t="s">
        <v>288</v>
      </c>
      <c r="L1634" s="373">
        <v>1</v>
      </c>
    </row>
    <row r="1635" spans="1:12">
      <c r="A1635" s="565">
        <v>1630</v>
      </c>
      <c r="B1635" s="560" t="s">
        <v>278</v>
      </c>
      <c r="C1635" s="564" t="s">
        <v>534</v>
      </c>
      <c r="D1635" s="560" t="s">
        <v>292</v>
      </c>
      <c r="E1635" s="560">
        <v>112</v>
      </c>
      <c r="F1635" s="560">
        <v>2</v>
      </c>
      <c r="G1635" s="560" t="s">
        <v>286</v>
      </c>
      <c r="H1635" s="566">
        <v>3.1416549789621318</v>
      </c>
      <c r="I1635" s="567" t="s">
        <v>499</v>
      </c>
      <c r="J1635" s="568" t="s">
        <v>288</v>
      </c>
      <c r="L1635" s="373">
        <v>1</v>
      </c>
    </row>
    <row r="1636" spans="1:12">
      <c r="A1636" s="565">
        <v>1631</v>
      </c>
      <c r="B1636" s="560" t="s">
        <v>278</v>
      </c>
      <c r="C1636" s="564" t="s">
        <v>534</v>
      </c>
      <c r="D1636" s="560" t="s">
        <v>292</v>
      </c>
      <c r="E1636" s="560">
        <v>147</v>
      </c>
      <c r="F1636" s="560">
        <v>4</v>
      </c>
      <c r="G1636" s="560" t="s">
        <v>286</v>
      </c>
      <c r="H1636" s="566">
        <v>4.1234221598877978</v>
      </c>
      <c r="I1636" s="567" t="s">
        <v>288</v>
      </c>
      <c r="J1636" s="568" t="s">
        <v>288</v>
      </c>
      <c r="L1636" s="373">
        <v>1</v>
      </c>
    </row>
    <row r="1637" spans="1:12">
      <c r="A1637" s="565">
        <v>1632</v>
      </c>
      <c r="B1637" s="560" t="s">
        <v>278</v>
      </c>
      <c r="C1637" s="564" t="s">
        <v>534</v>
      </c>
      <c r="D1637" s="560" t="s">
        <v>292</v>
      </c>
      <c r="E1637" s="560">
        <v>92</v>
      </c>
      <c r="F1637" s="560">
        <v>2</v>
      </c>
      <c r="G1637" s="560" t="s">
        <v>286</v>
      </c>
      <c r="H1637" s="566">
        <v>2.5806451612903225</v>
      </c>
      <c r="I1637" s="567" t="s">
        <v>288</v>
      </c>
      <c r="J1637" s="568" t="s">
        <v>288</v>
      </c>
      <c r="L1637" s="373">
        <v>1</v>
      </c>
    </row>
    <row r="1638" spans="1:12">
      <c r="A1638" s="565">
        <v>1633</v>
      </c>
      <c r="B1638" s="560" t="s">
        <v>278</v>
      </c>
      <c r="C1638" s="564" t="s">
        <v>534</v>
      </c>
      <c r="D1638" s="560" t="s">
        <v>292</v>
      </c>
      <c r="E1638" s="560">
        <v>154</v>
      </c>
      <c r="F1638" s="560">
        <v>5</v>
      </c>
      <c r="G1638" s="560" t="s">
        <v>286</v>
      </c>
      <c r="H1638" s="566">
        <v>4.3197755960729314</v>
      </c>
      <c r="I1638" s="567" t="s">
        <v>288</v>
      </c>
      <c r="J1638" s="568" t="s">
        <v>288</v>
      </c>
      <c r="L1638" s="373">
        <v>1</v>
      </c>
    </row>
    <row r="1639" spans="1:12" ht="21">
      <c r="A1639" s="565">
        <v>1634</v>
      </c>
      <c r="B1639" s="560" t="s">
        <v>278</v>
      </c>
      <c r="C1639" s="560" t="s">
        <v>527</v>
      </c>
      <c r="D1639" s="560" t="s">
        <v>293</v>
      </c>
      <c r="E1639" s="560">
        <v>136</v>
      </c>
      <c r="F1639" s="560">
        <v>3</v>
      </c>
      <c r="G1639" s="560" t="s">
        <v>286</v>
      </c>
      <c r="H1639" s="566">
        <v>3.8148667601683033</v>
      </c>
      <c r="I1639" s="567" t="s">
        <v>489</v>
      </c>
      <c r="J1639" s="568" t="s">
        <v>288</v>
      </c>
      <c r="L1639" s="373">
        <v>1</v>
      </c>
    </row>
    <row r="1640" spans="1:12" ht="21">
      <c r="A1640" s="565">
        <v>1635</v>
      </c>
      <c r="B1640" s="560" t="s">
        <v>278</v>
      </c>
      <c r="C1640" s="560" t="s">
        <v>527</v>
      </c>
      <c r="D1640" s="560" t="s">
        <v>291</v>
      </c>
      <c r="E1640" s="560">
        <v>164</v>
      </c>
      <c r="F1640" s="560">
        <v>5</v>
      </c>
      <c r="G1640" s="560" t="s">
        <v>286</v>
      </c>
      <c r="H1640" s="566">
        <v>4.6002805049088362</v>
      </c>
      <c r="I1640" s="567" t="s">
        <v>489</v>
      </c>
      <c r="J1640" s="568" t="s">
        <v>288</v>
      </c>
      <c r="L1640" s="373">
        <v>1</v>
      </c>
    </row>
    <row r="1641" spans="1:12">
      <c r="A1641" s="565">
        <v>1636</v>
      </c>
      <c r="B1641" s="560" t="s">
        <v>278</v>
      </c>
      <c r="C1641" s="560" t="s">
        <v>527</v>
      </c>
      <c r="D1641" s="560" t="s">
        <v>292</v>
      </c>
      <c r="E1641" s="560">
        <v>131</v>
      </c>
      <c r="F1641" s="560">
        <v>4</v>
      </c>
      <c r="G1641" s="560" t="s">
        <v>286</v>
      </c>
      <c r="H1641" s="566">
        <v>3.6746143057503509</v>
      </c>
      <c r="I1641" s="567" t="s">
        <v>288</v>
      </c>
      <c r="J1641" s="568" t="s">
        <v>288</v>
      </c>
      <c r="L1641" s="373">
        <v>1</v>
      </c>
    </row>
    <row r="1642" spans="1:12" ht="21">
      <c r="A1642" s="565">
        <v>1637</v>
      </c>
      <c r="B1642" s="560" t="s">
        <v>278</v>
      </c>
      <c r="C1642" s="560" t="s">
        <v>527</v>
      </c>
      <c r="D1642" s="560" t="s">
        <v>293</v>
      </c>
      <c r="E1642" s="560">
        <v>152</v>
      </c>
      <c r="F1642" s="560">
        <v>5</v>
      </c>
      <c r="G1642" s="560" t="str">
        <f>G1643</f>
        <v>prąd</v>
      </c>
      <c r="H1642" s="566">
        <v>30400</v>
      </c>
      <c r="I1642" s="567" t="s">
        <v>489</v>
      </c>
      <c r="J1642" s="568" t="s">
        <v>474</v>
      </c>
      <c r="L1642" s="373">
        <v>1</v>
      </c>
    </row>
    <row r="1643" spans="1:12">
      <c r="A1643" s="565">
        <v>1638</v>
      </c>
      <c r="B1643" s="560" t="s">
        <v>278</v>
      </c>
      <c r="C1643" s="560" t="s">
        <v>527</v>
      </c>
      <c r="D1643" s="560" t="s">
        <v>292</v>
      </c>
      <c r="E1643" s="560">
        <v>128</v>
      </c>
      <c r="F1643" s="560">
        <v>4</v>
      </c>
      <c r="G1643" s="560" t="s">
        <v>287</v>
      </c>
      <c r="H1643" s="566">
        <v>25600</v>
      </c>
      <c r="I1643" s="567" t="s">
        <v>464</v>
      </c>
      <c r="J1643" s="568" t="s">
        <v>288</v>
      </c>
      <c r="L1643" s="373">
        <v>1</v>
      </c>
    </row>
    <row r="1644" spans="1:12" ht="21">
      <c r="A1644" s="565">
        <v>1639</v>
      </c>
      <c r="B1644" s="560" t="s">
        <v>278</v>
      </c>
      <c r="C1644" s="560" t="s">
        <v>527</v>
      </c>
      <c r="D1644" s="560" t="s">
        <v>291</v>
      </c>
      <c r="E1644" s="560">
        <v>147</v>
      </c>
      <c r="F1644" s="560">
        <v>3</v>
      </c>
      <c r="G1644" s="560" t="s">
        <v>286</v>
      </c>
      <c r="H1644" s="566">
        <v>4.1234221598877978</v>
      </c>
      <c r="I1644" s="567" t="s">
        <v>489</v>
      </c>
      <c r="J1644" s="568" t="s">
        <v>288</v>
      </c>
      <c r="L1644" s="373">
        <v>1</v>
      </c>
    </row>
    <row r="1645" spans="1:12" ht="21">
      <c r="A1645" s="565">
        <v>1640</v>
      </c>
      <c r="B1645" s="560" t="s">
        <v>278</v>
      </c>
      <c r="C1645" s="560" t="s">
        <v>527</v>
      </c>
      <c r="D1645" s="560" t="s">
        <v>291</v>
      </c>
      <c r="E1645" s="560">
        <v>152</v>
      </c>
      <c r="F1645" s="560">
        <v>4</v>
      </c>
      <c r="G1645" s="560" t="s">
        <v>286</v>
      </c>
      <c r="H1645" s="566">
        <v>4.2636746143057502</v>
      </c>
      <c r="I1645" s="567" t="s">
        <v>489</v>
      </c>
      <c r="J1645" s="568" t="s">
        <v>288</v>
      </c>
      <c r="L1645" s="373">
        <v>1</v>
      </c>
    </row>
    <row r="1646" spans="1:12">
      <c r="A1646" s="565">
        <v>1641</v>
      </c>
      <c r="B1646" s="560" t="s">
        <v>278</v>
      </c>
      <c r="C1646" s="560" t="s">
        <v>527</v>
      </c>
      <c r="D1646" s="560" t="s">
        <v>291</v>
      </c>
      <c r="E1646" s="560">
        <v>196</v>
      </c>
      <c r="F1646" s="560">
        <v>8</v>
      </c>
      <c r="G1646" s="560" t="s">
        <v>286</v>
      </c>
      <c r="H1646" s="566">
        <v>5.497896213183731</v>
      </c>
      <c r="I1646" s="567" t="s">
        <v>499</v>
      </c>
      <c r="J1646" s="568" t="s">
        <v>500</v>
      </c>
      <c r="L1646" s="373">
        <v>1</v>
      </c>
    </row>
    <row r="1647" spans="1:12">
      <c r="A1647" s="565">
        <v>1642</v>
      </c>
      <c r="B1647" s="560" t="s">
        <v>278</v>
      </c>
      <c r="C1647" s="560" t="s">
        <v>527</v>
      </c>
      <c r="D1647" s="560" t="s">
        <v>291</v>
      </c>
      <c r="E1647" s="560">
        <v>137</v>
      </c>
      <c r="F1647" s="560">
        <v>3</v>
      </c>
      <c r="G1647" s="560" t="s">
        <v>286</v>
      </c>
      <c r="H1647" s="566">
        <v>3.8429172510518934</v>
      </c>
      <c r="I1647" s="567" t="s">
        <v>499</v>
      </c>
      <c r="J1647" s="568" t="s">
        <v>288</v>
      </c>
      <c r="L1647" s="373">
        <v>1</v>
      </c>
    </row>
    <row r="1648" spans="1:12">
      <c r="A1648" s="565">
        <v>1643</v>
      </c>
      <c r="B1648" s="560" t="s">
        <v>278</v>
      </c>
      <c r="C1648" s="560" t="s">
        <v>527</v>
      </c>
      <c r="D1648" s="560" t="s">
        <v>291</v>
      </c>
      <c r="E1648" s="560">
        <v>158</v>
      </c>
      <c r="F1648" s="560">
        <v>6</v>
      </c>
      <c r="G1648" s="560" t="s">
        <v>286</v>
      </c>
      <c r="H1648" s="566">
        <v>4.4319775596072937</v>
      </c>
      <c r="I1648" s="567" t="s">
        <v>288</v>
      </c>
      <c r="J1648" s="568" t="s">
        <v>288</v>
      </c>
      <c r="L1648" s="373">
        <v>1</v>
      </c>
    </row>
    <row r="1649" spans="1:12">
      <c r="A1649" s="565">
        <v>1644</v>
      </c>
      <c r="B1649" s="560" t="s">
        <v>278</v>
      </c>
      <c r="C1649" s="560" t="s">
        <v>527</v>
      </c>
      <c r="D1649" s="560" t="s">
        <v>291</v>
      </c>
      <c r="E1649" s="560">
        <v>129</v>
      </c>
      <c r="F1649" s="560">
        <v>3</v>
      </c>
      <c r="G1649" s="560" t="s">
        <v>286</v>
      </c>
      <c r="H1649" s="566">
        <v>3.6185133239831697</v>
      </c>
      <c r="I1649" s="567" t="s">
        <v>464</v>
      </c>
      <c r="J1649" s="568" t="s">
        <v>288</v>
      </c>
      <c r="L1649" s="373">
        <v>1</v>
      </c>
    </row>
    <row r="1650" spans="1:12">
      <c r="A1650" s="565">
        <v>1645</v>
      </c>
      <c r="B1650" s="560" t="s">
        <v>278</v>
      </c>
      <c r="C1650" s="560" t="s">
        <v>527</v>
      </c>
      <c r="D1650" s="560" t="s">
        <v>292</v>
      </c>
      <c r="E1650" s="560">
        <v>122</v>
      </c>
      <c r="F1650" s="560">
        <v>3</v>
      </c>
      <c r="G1650" s="560" t="s">
        <v>286</v>
      </c>
      <c r="H1650" s="566">
        <v>3.4221598877980366</v>
      </c>
      <c r="I1650" s="567" t="s">
        <v>288</v>
      </c>
      <c r="J1650" s="568" t="s">
        <v>288</v>
      </c>
      <c r="L1650" s="373">
        <v>1</v>
      </c>
    </row>
    <row r="1651" spans="1:12">
      <c r="A1651" s="565">
        <v>1646</v>
      </c>
      <c r="B1651" s="560" t="s">
        <v>278</v>
      </c>
      <c r="C1651" s="560" t="s">
        <v>527</v>
      </c>
      <c r="D1651" s="560" t="s">
        <v>292</v>
      </c>
      <c r="E1651" s="560">
        <v>143</v>
      </c>
      <c r="F1651" s="560">
        <v>5</v>
      </c>
      <c r="G1651" s="560" t="s">
        <v>286</v>
      </c>
      <c r="H1651" s="566">
        <v>4.0112201963534364</v>
      </c>
      <c r="I1651" s="567" t="s">
        <v>288</v>
      </c>
      <c r="J1651" s="568" t="s">
        <v>288</v>
      </c>
      <c r="L1651" s="373">
        <v>1</v>
      </c>
    </row>
    <row r="1652" spans="1:12">
      <c r="A1652" s="565">
        <v>1647</v>
      </c>
      <c r="B1652" s="560" t="s">
        <v>278</v>
      </c>
      <c r="C1652" s="560" t="s">
        <v>527</v>
      </c>
      <c r="D1652" s="560" t="s">
        <v>291</v>
      </c>
      <c r="E1652" s="560">
        <v>183</v>
      </c>
      <c r="F1652" s="560">
        <v>7</v>
      </c>
      <c r="G1652" s="560" t="s">
        <v>286</v>
      </c>
      <c r="H1652" s="566">
        <v>5.1332398316970549</v>
      </c>
      <c r="I1652" s="567" t="s">
        <v>464</v>
      </c>
      <c r="J1652" s="568" t="s">
        <v>288</v>
      </c>
      <c r="L1652" s="373">
        <v>1</v>
      </c>
    </row>
    <row r="1653" spans="1:12" ht="21">
      <c r="A1653" s="565">
        <v>1648</v>
      </c>
      <c r="B1653" s="560" t="s">
        <v>278</v>
      </c>
      <c r="C1653" s="560" t="s">
        <v>527</v>
      </c>
      <c r="D1653" s="560" t="s">
        <v>291</v>
      </c>
      <c r="E1653" s="560">
        <v>127</v>
      </c>
      <c r="F1653" s="560">
        <v>4</v>
      </c>
      <c r="G1653" s="560" t="s">
        <v>286</v>
      </c>
      <c r="H1653" s="566">
        <v>3.562412342215989</v>
      </c>
      <c r="I1653" s="567" t="s">
        <v>464</v>
      </c>
      <c r="J1653" s="568" t="s">
        <v>506</v>
      </c>
      <c r="L1653" s="373">
        <v>1</v>
      </c>
    </row>
    <row r="1654" spans="1:12">
      <c r="A1654" s="565">
        <v>1649</v>
      </c>
      <c r="B1654" s="560" t="s">
        <v>278</v>
      </c>
      <c r="C1654" s="560" t="s">
        <v>527</v>
      </c>
      <c r="D1654" s="560" t="s">
        <v>291</v>
      </c>
      <c r="E1654" s="560">
        <v>152</v>
      </c>
      <c r="F1654" s="560">
        <v>5</v>
      </c>
      <c r="G1654" s="560" t="s">
        <v>286</v>
      </c>
      <c r="H1654" s="566">
        <v>4.2636746143057502</v>
      </c>
      <c r="I1654" s="567" t="s">
        <v>288</v>
      </c>
      <c r="J1654" s="568" t="s">
        <v>288</v>
      </c>
      <c r="L1654" s="373">
        <v>1</v>
      </c>
    </row>
    <row r="1655" spans="1:12">
      <c r="A1655" s="565">
        <v>1650</v>
      </c>
      <c r="B1655" s="560" t="s">
        <v>278</v>
      </c>
      <c r="C1655" s="560" t="s">
        <v>527</v>
      </c>
      <c r="D1655" s="560" t="s">
        <v>292</v>
      </c>
      <c r="E1655" s="560">
        <v>98</v>
      </c>
      <c r="F1655" s="560">
        <v>3</v>
      </c>
      <c r="G1655" s="560" t="s">
        <v>286</v>
      </c>
      <c r="H1655" s="566">
        <v>2.7489481065918655</v>
      </c>
      <c r="I1655" s="567" t="s">
        <v>288</v>
      </c>
      <c r="J1655" s="568" t="s">
        <v>288</v>
      </c>
      <c r="L1655" s="373">
        <v>1</v>
      </c>
    </row>
    <row r="1656" spans="1:12">
      <c r="A1656" s="565">
        <v>1651</v>
      </c>
      <c r="B1656" s="560" t="s">
        <v>278</v>
      </c>
      <c r="C1656" s="560" t="s">
        <v>527</v>
      </c>
      <c r="D1656" s="560" t="s">
        <v>292</v>
      </c>
      <c r="E1656" s="560">
        <v>112</v>
      </c>
      <c r="F1656" s="560">
        <v>2</v>
      </c>
      <c r="G1656" s="560" t="s">
        <v>286</v>
      </c>
      <c r="H1656" s="566">
        <v>3.1416549789621318</v>
      </c>
      <c r="I1656" s="567" t="s">
        <v>288</v>
      </c>
      <c r="J1656" s="568" t="s">
        <v>288</v>
      </c>
      <c r="L1656" s="373">
        <v>1</v>
      </c>
    </row>
    <row r="1657" spans="1:12">
      <c r="A1657" s="565">
        <v>1652</v>
      </c>
      <c r="B1657" s="560" t="s">
        <v>278</v>
      </c>
      <c r="C1657" s="560" t="s">
        <v>527</v>
      </c>
      <c r="D1657" s="560" t="s">
        <v>290</v>
      </c>
      <c r="E1657" s="560">
        <v>132</v>
      </c>
      <c r="F1657" s="560">
        <v>3</v>
      </c>
      <c r="G1657" s="560" t="s">
        <v>286</v>
      </c>
      <c r="H1657" s="566">
        <v>3.7026647966339414</v>
      </c>
      <c r="I1657" s="567" t="s">
        <v>288</v>
      </c>
      <c r="J1657" s="568" t="s">
        <v>288</v>
      </c>
      <c r="L1657" s="373">
        <v>1</v>
      </c>
    </row>
    <row r="1658" spans="1:12" ht="21">
      <c r="A1658" s="565">
        <v>1653</v>
      </c>
      <c r="B1658" s="560" t="s">
        <v>278</v>
      </c>
      <c r="C1658" s="560" t="s">
        <v>527</v>
      </c>
      <c r="D1658" s="560" t="s">
        <v>291</v>
      </c>
      <c r="E1658" s="560">
        <v>119</v>
      </c>
      <c r="F1658" s="560">
        <v>3</v>
      </c>
      <c r="G1658" s="560" t="s">
        <v>286</v>
      </c>
      <c r="H1658" s="566">
        <v>3.3380084151472653</v>
      </c>
      <c r="I1658" s="567" t="s">
        <v>489</v>
      </c>
      <c r="J1658" s="568" t="s">
        <v>288</v>
      </c>
      <c r="L1658" s="373">
        <v>1</v>
      </c>
    </row>
    <row r="1659" spans="1:12">
      <c r="A1659" s="565">
        <v>1654</v>
      </c>
      <c r="B1659" s="560" t="s">
        <v>278</v>
      </c>
      <c r="C1659" s="560" t="s">
        <v>531</v>
      </c>
      <c r="D1659" s="560" t="s">
        <v>292</v>
      </c>
      <c r="E1659" s="560">
        <v>112</v>
      </c>
      <c r="F1659" s="560">
        <v>2</v>
      </c>
      <c r="G1659" s="560" t="s">
        <v>286</v>
      </c>
      <c r="H1659" s="566">
        <v>3.1416549789621318</v>
      </c>
      <c r="I1659" s="567" t="s">
        <v>288</v>
      </c>
      <c r="J1659" s="568" t="s">
        <v>288</v>
      </c>
      <c r="L1659" s="373">
        <v>1</v>
      </c>
    </row>
    <row r="1660" spans="1:12">
      <c r="A1660" s="565">
        <v>1655</v>
      </c>
      <c r="B1660" s="560" t="s">
        <v>278</v>
      </c>
      <c r="C1660" s="560" t="s">
        <v>531</v>
      </c>
      <c r="D1660" s="560" t="s">
        <v>291</v>
      </c>
      <c r="E1660" s="560">
        <v>143</v>
      </c>
      <c r="F1660" s="560">
        <v>3</v>
      </c>
      <c r="G1660" s="560" t="s">
        <v>286</v>
      </c>
      <c r="H1660" s="566">
        <v>4.0112201963534364</v>
      </c>
      <c r="I1660" s="567" t="s">
        <v>464</v>
      </c>
      <c r="J1660" s="568" t="s">
        <v>288</v>
      </c>
      <c r="L1660" s="373">
        <v>1</v>
      </c>
    </row>
    <row r="1661" spans="1:12">
      <c r="A1661" s="565">
        <v>1656</v>
      </c>
      <c r="B1661" s="560" t="s">
        <v>278</v>
      </c>
      <c r="C1661" s="560" t="s">
        <v>531</v>
      </c>
      <c r="D1661" s="560" t="s">
        <v>291</v>
      </c>
      <c r="E1661" s="560">
        <v>158</v>
      </c>
      <c r="F1661" s="560">
        <v>5</v>
      </c>
      <c r="G1661" s="560" t="s">
        <v>286</v>
      </c>
      <c r="H1661" s="566">
        <v>4.4319775596072937</v>
      </c>
      <c r="I1661" s="567" t="s">
        <v>499</v>
      </c>
      <c r="J1661" s="568" t="s">
        <v>288</v>
      </c>
      <c r="L1661" s="373">
        <v>1</v>
      </c>
    </row>
    <row r="1662" spans="1:12">
      <c r="A1662" s="565">
        <v>1657</v>
      </c>
      <c r="B1662" s="560" t="s">
        <v>278</v>
      </c>
      <c r="C1662" s="560" t="s">
        <v>515</v>
      </c>
      <c r="D1662" s="560" t="s">
        <v>292</v>
      </c>
      <c r="E1662" s="560">
        <v>115</v>
      </c>
      <c r="F1662" s="560">
        <v>3</v>
      </c>
      <c r="G1662" s="560" t="s">
        <v>286</v>
      </c>
      <c r="H1662" s="566">
        <v>3.2258064516129035</v>
      </c>
      <c r="I1662" s="567" t="s">
        <v>464</v>
      </c>
      <c r="J1662" s="568" t="s">
        <v>288</v>
      </c>
      <c r="L1662" s="373">
        <v>1</v>
      </c>
    </row>
    <row r="1663" spans="1:12">
      <c r="A1663" s="565">
        <v>1658</v>
      </c>
      <c r="B1663" s="560" t="s">
        <v>278</v>
      </c>
      <c r="C1663" s="560" t="s">
        <v>515</v>
      </c>
      <c r="D1663" s="560" t="s">
        <v>291</v>
      </c>
      <c r="E1663" s="560">
        <v>133</v>
      </c>
      <c r="F1663" s="560">
        <v>3</v>
      </c>
      <c r="G1663" s="560" t="s">
        <v>286</v>
      </c>
      <c r="H1663" s="566">
        <v>3.7307152875175316</v>
      </c>
      <c r="I1663" s="567" t="s">
        <v>288</v>
      </c>
      <c r="J1663" s="568" t="s">
        <v>288</v>
      </c>
      <c r="L1663" s="373">
        <v>1</v>
      </c>
    </row>
    <row r="1664" spans="1:12">
      <c r="A1664" s="565">
        <v>1659</v>
      </c>
      <c r="B1664" s="560" t="s">
        <v>278</v>
      </c>
      <c r="C1664" s="560" t="s">
        <v>515</v>
      </c>
      <c r="D1664" s="560" t="s">
        <v>291</v>
      </c>
      <c r="E1664" s="560">
        <v>142</v>
      </c>
      <c r="F1664" s="560">
        <v>4</v>
      </c>
      <c r="G1664" s="560" t="s">
        <v>286</v>
      </c>
      <c r="H1664" s="566">
        <v>3.9831697054698458</v>
      </c>
      <c r="I1664" s="567" t="s">
        <v>464</v>
      </c>
      <c r="J1664" s="568" t="s">
        <v>288</v>
      </c>
      <c r="L1664" s="373">
        <v>1</v>
      </c>
    </row>
    <row r="1665" spans="1:12">
      <c r="A1665" s="565">
        <v>1660</v>
      </c>
      <c r="B1665" s="560" t="s">
        <v>278</v>
      </c>
      <c r="C1665" s="560" t="s">
        <v>515</v>
      </c>
      <c r="D1665" s="560" t="s">
        <v>292</v>
      </c>
      <c r="E1665" s="560">
        <v>156</v>
      </c>
      <c r="F1665" s="560">
        <v>5</v>
      </c>
      <c r="G1665" s="560" t="s">
        <v>286</v>
      </c>
      <c r="H1665" s="566">
        <v>4.3758765778401125</v>
      </c>
      <c r="I1665" s="567" t="s">
        <v>288</v>
      </c>
      <c r="J1665" s="568" t="s">
        <v>288</v>
      </c>
      <c r="L1665" s="373">
        <v>1</v>
      </c>
    </row>
    <row r="1666" spans="1:12" ht="21">
      <c r="A1666" s="565">
        <v>1661</v>
      </c>
      <c r="B1666" s="560" t="s">
        <v>278</v>
      </c>
      <c r="C1666" s="560" t="s">
        <v>515</v>
      </c>
      <c r="D1666" s="560" t="s">
        <v>291</v>
      </c>
      <c r="E1666" s="560">
        <v>168</v>
      </c>
      <c r="F1666" s="560">
        <v>7</v>
      </c>
      <c r="G1666" s="560" t="s">
        <v>286</v>
      </c>
      <c r="H1666" s="566">
        <v>4.7124824684431976</v>
      </c>
      <c r="I1666" s="567" t="s">
        <v>464</v>
      </c>
      <c r="J1666" s="568" t="s">
        <v>506</v>
      </c>
      <c r="L1666" s="373">
        <v>1</v>
      </c>
    </row>
    <row r="1667" spans="1:12">
      <c r="A1667" s="565">
        <v>1662</v>
      </c>
      <c r="B1667" s="560" t="s">
        <v>278</v>
      </c>
      <c r="C1667" s="560" t="s">
        <v>515</v>
      </c>
      <c r="D1667" s="560" t="s">
        <v>292</v>
      </c>
      <c r="E1667" s="560">
        <v>157</v>
      </c>
      <c r="F1667" s="560">
        <v>6</v>
      </c>
      <c r="G1667" s="560" t="s">
        <v>286</v>
      </c>
      <c r="H1667" s="566">
        <v>4.4039270687237027</v>
      </c>
      <c r="I1667" s="567" t="s">
        <v>464</v>
      </c>
      <c r="J1667" s="568" t="s">
        <v>288</v>
      </c>
      <c r="L1667" s="373">
        <v>1</v>
      </c>
    </row>
    <row r="1668" spans="1:12">
      <c r="A1668" s="565">
        <v>1663</v>
      </c>
      <c r="B1668" s="560" t="s">
        <v>278</v>
      </c>
      <c r="C1668" s="560" t="s">
        <v>515</v>
      </c>
      <c r="D1668" s="560" t="s">
        <v>291</v>
      </c>
      <c r="E1668" s="560">
        <v>152</v>
      </c>
      <c r="F1668" s="560">
        <v>5</v>
      </c>
      <c r="G1668" s="560" t="s">
        <v>286</v>
      </c>
      <c r="H1668" s="566">
        <v>4.2636746143057502</v>
      </c>
      <c r="I1668" s="567" t="s">
        <v>499</v>
      </c>
      <c r="J1668" s="568" t="s">
        <v>288</v>
      </c>
      <c r="L1668" s="373">
        <v>1</v>
      </c>
    </row>
    <row r="1669" spans="1:12">
      <c r="A1669" s="565">
        <v>1664</v>
      </c>
      <c r="B1669" s="560" t="s">
        <v>278</v>
      </c>
      <c r="C1669" s="560" t="s">
        <v>535</v>
      </c>
      <c r="D1669" s="560" t="s">
        <v>292</v>
      </c>
      <c r="E1669" s="560">
        <v>141</v>
      </c>
      <c r="F1669" s="560">
        <v>4</v>
      </c>
      <c r="G1669" s="560" t="str">
        <f>G1670</f>
        <v>prąd</v>
      </c>
      <c r="H1669" s="566">
        <v>28200</v>
      </c>
      <c r="I1669" s="567" t="s">
        <v>464</v>
      </c>
      <c r="J1669" s="568" t="s">
        <v>288</v>
      </c>
      <c r="L1669" s="373">
        <v>1</v>
      </c>
    </row>
    <row r="1670" spans="1:12">
      <c r="A1670" s="565">
        <v>1665</v>
      </c>
      <c r="B1670" s="560" t="s">
        <v>278</v>
      </c>
      <c r="C1670" s="560" t="s">
        <v>535</v>
      </c>
      <c r="D1670" s="560" t="s">
        <v>292</v>
      </c>
      <c r="E1670" s="560">
        <v>138</v>
      </c>
      <c r="F1670" s="560">
        <v>3</v>
      </c>
      <c r="G1670" s="560" t="str">
        <f>G1671</f>
        <v>prąd</v>
      </c>
      <c r="H1670" s="566">
        <v>27600</v>
      </c>
      <c r="I1670" s="567" t="s">
        <v>464</v>
      </c>
      <c r="J1670" s="568" t="s">
        <v>288</v>
      </c>
      <c r="L1670" s="373">
        <v>1</v>
      </c>
    </row>
    <row r="1671" spans="1:12">
      <c r="A1671" s="565">
        <v>1666</v>
      </c>
      <c r="B1671" s="560" t="s">
        <v>278</v>
      </c>
      <c r="C1671" s="560" t="s">
        <v>535</v>
      </c>
      <c r="D1671" s="560" t="s">
        <v>292</v>
      </c>
      <c r="E1671" s="560">
        <v>147</v>
      </c>
      <c r="F1671" s="560">
        <v>5</v>
      </c>
      <c r="G1671" s="560" t="s">
        <v>287</v>
      </c>
      <c r="H1671" s="566">
        <v>29400</v>
      </c>
      <c r="I1671" s="567" t="s">
        <v>288</v>
      </c>
      <c r="J1671" s="568" t="s">
        <v>288</v>
      </c>
      <c r="L1671" s="373">
        <v>1</v>
      </c>
    </row>
    <row r="1672" spans="1:12">
      <c r="A1672" s="565">
        <v>1667</v>
      </c>
      <c r="B1672" s="560" t="s">
        <v>278</v>
      </c>
      <c r="C1672" s="560" t="s">
        <v>535</v>
      </c>
      <c r="D1672" s="560" t="s">
        <v>291</v>
      </c>
      <c r="E1672" s="560">
        <v>110</v>
      </c>
      <c r="F1672" s="560">
        <v>2</v>
      </c>
      <c r="G1672" s="560" t="s">
        <v>286</v>
      </c>
      <c r="H1672" s="566">
        <v>3.085553997194951</v>
      </c>
      <c r="I1672" s="567" t="s">
        <v>464</v>
      </c>
      <c r="J1672" s="568" t="s">
        <v>288</v>
      </c>
      <c r="L1672" s="373">
        <v>1</v>
      </c>
    </row>
    <row r="1673" spans="1:12">
      <c r="A1673" s="565">
        <v>1668</v>
      </c>
      <c r="B1673" s="560" t="s">
        <v>278</v>
      </c>
      <c r="C1673" s="560" t="s">
        <v>535</v>
      </c>
      <c r="D1673" s="560" t="s">
        <v>292</v>
      </c>
      <c r="E1673" s="560">
        <v>97</v>
      </c>
      <c r="F1673" s="560">
        <v>3</v>
      </c>
      <c r="G1673" s="560" t="s">
        <v>286</v>
      </c>
      <c r="H1673" s="566">
        <v>2.7208976157082749</v>
      </c>
      <c r="I1673" s="567" t="s">
        <v>288</v>
      </c>
      <c r="J1673" s="568" t="s">
        <v>288</v>
      </c>
      <c r="L1673" s="373">
        <v>1</v>
      </c>
    </row>
    <row r="1674" spans="1:12">
      <c r="A1674" s="565">
        <v>1669</v>
      </c>
      <c r="B1674" s="560" t="s">
        <v>278</v>
      </c>
      <c r="C1674" s="560" t="s">
        <v>535</v>
      </c>
      <c r="D1674" s="560" t="s">
        <v>291</v>
      </c>
      <c r="E1674" s="560">
        <v>152</v>
      </c>
      <c r="F1674" s="560">
        <v>4</v>
      </c>
      <c r="G1674" s="560" t="s">
        <v>286</v>
      </c>
      <c r="H1674" s="566">
        <v>4.2636746143057502</v>
      </c>
      <c r="I1674" s="567" t="s">
        <v>464</v>
      </c>
      <c r="J1674" s="568" t="s">
        <v>288</v>
      </c>
      <c r="L1674" s="373">
        <v>1</v>
      </c>
    </row>
    <row r="1675" spans="1:12">
      <c r="A1675" s="565">
        <v>1670</v>
      </c>
      <c r="B1675" s="560" t="s">
        <v>278</v>
      </c>
      <c r="C1675" s="560" t="s">
        <v>535</v>
      </c>
      <c r="D1675" s="560" t="s">
        <v>292</v>
      </c>
      <c r="E1675" s="560">
        <v>148</v>
      </c>
      <c r="F1675" s="560">
        <v>5</v>
      </c>
      <c r="G1675" s="560" t="s">
        <v>286</v>
      </c>
      <c r="H1675" s="566">
        <v>4.1514726507713888</v>
      </c>
      <c r="I1675" s="567" t="s">
        <v>288</v>
      </c>
      <c r="J1675" s="568" t="s">
        <v>288</v>
      </c>
      <c r="L1675" s="373">
        <v>1</v>
      </c>
    </row>
    <row r="1676" spans="1:12">
      <c r="A1676" s="565">
        <v>1671</v>
      </c>
      <c r="B1676" s="560" t="s">
        <v>278</v>
      </c>
      <c r="C1676" s="560" t="s">
        <v>535</v>
      </c>
      <c r="D1676" s="560" t="s">
        <v>292</v>
      </c>
      <c r="E1676" s="560">
        <v>115</v>
      </c>
      <c r="F1676" s="560">
        <v>3</v>
      </c>
      <c r="G1676" s="560" t="s">
        <v>286</v>
      </c>
      <c r="H1676" s="566">
        <v>3.2258064516129035</v>
      </c>
      <c r="I1676" s="567" t="s">
        <v>288</v>
      </c>
      <c r="J1676" s="568" t="s">
        <v>288</v>
      </c>
      <c r="L1676" s="373">
        <v>1</v>
      </c>
    </row>
    <row r="1677" spans="1:12">
      <c r="A1677" s="565">
        <v>1672</v>
      </c>
      <c r="B1677" s="560" t="s">
        <v>278</v>
      </c>
      <c r="C1677" s="560" t="s">
        <v>535</v>
      </c>
      <c r="D1677" s="560" t="s">
        <v>292</v>
      </c>
      <c r="E1677" s="560">
        <v>116</v>
      </c>
      <c r="F1677" s="560">
        <v>2</v>
      </c>
      <c r="G1677" s="560" t="s">
        <v>286</v>
      </c>
      <c r="H1677" s="566">
        <v>3.2538569424964936</v>
      </c>
      <c r="I1677" s="567" t="s">
        <v>288</v>
      </c>
      <c r="J1677" s="568" t="s">
        <v>288</v>
      </c>
      <c r="L1677" s="373">
        <v>1</v>
      </c>
    </row>
    <row r="1678" spans="1:12" ht="21">
      <c r="A1678" s="565">
        <v>1673</v>
      </c>
      <c r="B1678" s="560" t="s">
        <v>278</v>
      </c>
      <c r="C1678" s="560" t="s">
        <v>535</v>
      </c>
      <c r="D1678" s="560" t="s">
        <v>291</v>
      </c>
      <c r="E1678" s="560">
        <v>127</v>
      </c>
      <c r="F1678" s="560">
        <v>4</v>
      </c>
      <c r="G1678" s="560" t="s">
        <v>286</v>
      </c>
      <c r="H1678" s="566">
        <v>3.562412342215989</v>
      </c>
      <c r="I1678" s="567" t="s">
        <v>489</v>
      </c>
      <c r="J1678" s="568" t="s">
        <v>288</v>
      </c>
      <c r="L1678" s="373">
        <v>1</v>
      </c>
    </row>
    <row r="1679" spans="1:12">
      <c r="A1679" s="565">
        <v>1674</v>
      </c>
      <c r="B1679" s="560" t="s">
        <v>278</v>
      </c>
      <c r="C1679" s="560" t="s">
        <v>535</v>
      </c>
      <c r="D1679" s="560" t="s">
        <v>292</v>
      </c>
      <c r="E1679" s="560">
        <v>132</v>
      </c>
      <c r="F1679" s="560">
        <v>3</v>
      </c>
      <c r="G1679" s="560" t="s">
        <v>286</v>
      </c>
      <c r="H1679" s="566">
        <v>3.7026647966339414</v>
      </c>
      <c r="I1679" s="567" t="s">
        <v>288</v>
      </c>
      <c r="J1679" s="568" t="s">
        <v>288</v>
      </c>
      <c r="L1679" s="373">
        <v>1</v>
      </c>
    </row>
    <row r="1680" spans="1:12">
      <c r="A1680" s="565">
        <v>1675</v>
      </c>
      <c r="B1680" s="560" t="s">
        <v>278</v>
      </c>
      <c r="C1680" s="560" t="s">
        <v>535</v>
      </c>
      <c r="D1680" s="560" t="s">
        <v>290</v>
      </c>
      <c r="E1680" s="560">
        <v>119</v>
      </c>
      <c r="F1680" s="560">
        <v>2</v>
      </c>
      <c r="G1680" s="560" t="s">
        <v>286</v>
      </c>
      <c r="H1680" s="566">
        <v>3.3380084151472653</v>
      </c>
      <c r="I1680" s="567" t="s">
        <v>288</v>
      </c>
      <c r="J1680" s="568" t="s">
        <v>288</v>
      </c>
      <c r="L1680" s="373">
        <v>1</v>
      </c>
    </row>
    <row r="1681" spans="1:12">
      <c r="A1681" s="565">
        <v>1676</v>
      </c>
      <c r="B1681" s="560" t="s">
        <v>278</v>
      </c>
      <c r="C1681" s="560" t="s">
        <v>535</v>
      </c>
      <c r="D1681" s="560" t="s">
        <v>291</v>
      </c>
      <c r="E1681" s="560">
        <v>148</v>
      </c>
      <c r="F1681" s="560">
        <v>3</v>
      </c>
      <c r="G1681" s="560" t="str">
        <f>G1682</f>
        <v>prąd</v>
      </c>
      <c r="H1681" s="566">
        <v>29600</v>
      </c>
      <c r="I1681" s="567" t="s">
        <v>499</v>
      </c>
      <c r="J1681" s="568" t="s">
        <v>288</v>
      </c>
      <c r="L1681" s="373">
        <v>1</v>
      </c>
    </row>
    <row r="1682" spans="1:12">
      <c r="A1682" s="565">
        <v>1677</v>
      </c>
      <c r="B1682" s="560" t="s">
        <v>278</v>
      </c>
      <c r="C1682" s="560" t="s">
        <v>535</v>
      </c>
      <c r="D1682" s="560" t="s">
        <v>291</v>
      </c>
      <c r="E1682" s="560">
        <v>157</v>
      </c>
      <c r="F1682" s="560">
        <v>5</v>
      </c>
      <c r="G1682" s="560" t="s">
        <v>287</v>
      </c>
      <c r="H1682" s="566">
        <v>31400</v>
      </c>
      <c r="I1682" s="567" t="s">
        <v>288</v>
      </c>
      <c r="J1682" s="568" t="s">
        <v>288</v>
      </c>
      <c r="L1682" s="373">
        <v>1</v>
      </c>
    </row>
    <row r="1683" spans="1:12" ht="21">
      <c r="A1683" s="565">
        <v>1678</v>
      </c>
      <c r="B1683" s="560" t="s">
        <v>278</v>
      </c>
      <c r="C1683" s="560" t="s">
        <v>535</v>
      </c>
      <c r="D1683" s="560" t="s">
        <v>291</v>
      </c>
      <c r="E1683" s="560">
        <v>139</v>
      </c>
      <c r="F1683" s="560">
        <v>4</v>
      </c>
      <c r="G1683" s="560" t="s">
        <v>286</v>
      </c>
      <c r="H1683" s="566">
        <v>3.8990182328190746</v>
      </c>
      <c r="I1683" s="567" t="s">
        <v>489</v>
      </c>
      <c r="J1683" s="568" t="s">
        <v>288</v>
      </c>
      <c r="L1683" s="373">
        <v>1</v>
      </c>
    </row>
    <row r="1684" spans="1:12">
      <c r="A1684" s="565">
        <v>1679</v>
      </c>
      <c r="B1684" s="560" t="s">
        <v>278</v>
      </c>
      <c r="C1684" s="560" t="s">
        <v>535</v>
      </c>
      <c r="D1684" s="560" t="s">
        <v>291</v>
      </c>
      <c r="E1684" s="560">
        <v>140</v>
      </c>
      <c r="F1684" s="560">
        <v>3</v>
      </c>
      <c r="G1684" s="560" t="s">
        <v>286</v>
      </c>
      <c r="H1684" s="566">
        <v>3.9270687237026651</v>
      </c>
      <c r="I1684" s="567" t="s">
        <v>464</v>
      </c>
      <c r="J1684" s="568" t="s">
        <v>288</v>
      </c>
      <c r="L1684" s="373">
        <v>1</v>
      </c>
    </row>
    <row r="1685" spans="1:12" ht="21">
      <c r="A1685" s="565">
        <v>1680</v>
      </c>
      <c r="B1685" s="560" t="s">
        <v>278</v>
      </c>
      <c r="C1685" s="560" t="s">
        <v>535</v>
      </c>
      <c r="D1685" s="560" t="s">
        <v>291</v>
      </c>
      <c r="E1685" s="560">
        <v>139</v>
      </c>
      <c r="F1685" s="560">
        <v>4</v>
      </c>
      <c r="G1685" s="560" t="s">
        <v>286</v>
      </c>
      <c r="H1685" s="566">
        <v>3.8990182328190746</v>
      </c>
      <c r="I1685" s="567" t="s">
        <v>489</v>
      </c>
      <c r="J1685" s="568" t="s">
        <v>288</v>
      </c>
      <c r="L1685" s="373">
        <v>1</v>
      </c>
    </row>
    <row r="1686" spans="1:12">
      <c r="A1686" s="565">
        <v>1681</v>
      </c>
      <c r="B1686" s="560" t="s">
        <v>278</v>
      </c>
      <c r="C1686" s="560" t="s">
        <v>535</v>
      </c>
      <c r="D1686" s="560" t="s">
        <v>292</v>
      </c>
      <c r="E1686" s="560">
        <v>112</v>
      </c>
      <c r="F1686" s="560">
        <v>2</v>
      </c>
      <c r="G1686" s="560" t="s">
        <v>286</v>
      </c>
      <c r="H1686" s="566">
        <v>3.1416549789621318</v>
      </c>
      <c r="I1686" s="567" t="s">
        <v>499</v>
      </c>
      <c r="J1686" s="568" t="s">
        <v>288</v>
      </c>
      <c r="L1686" s="373">
        <v>1</v>
      </c>
    </row>
    <row r="1687" spans="1:12">
      <c r="A1687" s="565">
        <v>1682</v>
      </c>
      <c r="B1687" s="560" t="s">
        <v>278</v>
      </c>
      <c r="C1687" s="560" t="s">
        <v>535</v>
      </c>
      <c r="D1687" s="560" t="s">
        <v>292</v>
      </c>
      <c r="E1687" s="560">
        <v>147</v>
      </c>
      <c r="F1687" s="560">
        <v>4</v>
      </c>
      <c r="G1687" s="560" t="s">
        <v>286</v>
      </c>
      <c r="H1687" s="566">
        <v>4.1234221598877978</v>
      </c>
      <c r="I1687" s="567" t="s">
        <v>288</v>
      </c>
      <c r="J1687" s="568" t="s">
        <v>288</v>
      </c>
      <c r="L1687" s="373">
        <v>1</v>
      </c>
    </row>
    <row r="1688" spans="1:12">
      <c r="A1688" s="565">
        <v>1683</v>
      </c>
      <c r="B1688" s="560" t="s">
        <v>278</v>
      </c>
      <c r="C1688" s="560" t="s">
        <v>535</v>
      </c>
      <c r="D1688" s="560" t="s">
        <v>292</v>
      </c>
      <c r="E1688" s="560">
        <v>92</v>
      </c>
      <c r="F1688" s="560">
        <v>2</v>
      </c>
      <c r="G1688" s="560" t="s">
        <v>286</v>
      </c>
      <c r="H1688" s="566">
        <v>2.5806451612903225</v>
      </c>
      <c r="I1688" s="567" t="s">
        <v>288</v>
      </c>
      <c r="J1688" s="568" t="s">
        <v>288</v>
      </c>
      <c r="L1688" s="373">
        <v>1</v>
      </c>
    </row>
    <row r="1689" spans="1:12">
      <c r="A1689" s="565">
        <v>1684</v>
      </c>
      <c r="B1689" s="560" t="s">
        <v>278</v>
      </c>
      <c r="C1689" s="560" t="s">
        <v>535</v>
      </c>
      <c r="D1689" s="560" t="s">
        <v>292</v>
      </c>
      <c r="E1689" s="560">
        <v>154</v>
      </c>
      <c r="F1689" s="560">
        <v>5</v>
      </c>
      <c r="G1689" s="560" t="s">
        <v>286</v>
      </c>
      <c r="H1689" s="566">
        <v>4.3197755960729314</v>
      </c>
      <c r="I1689" s="567" t="s">
        <v>288</v>
      </c>
      <c r="J1689" s="568" t="s">
        <v>288</v>
      </c>
      <c r="L1689" s="373">
        <v>1</v>
      </c>
    </row>
    <row r="1690" spans="1:12" ht="21">
      <c r="A1690" s="565">
        <v>1685</v>
      </c>
      <c r="B1690" s="560" t="s">
        <v>278</v>
      </c>
      <c r="C1690" s="560" t="s">
        <v>535</v>
      </c>
      <c r="D1690" s="560" t="s">
        <v>293</v>
      </c>
      <c r="E1690" s="560">
        <v>136</v>
      </c>
      <c r="F1690" s="560">
        <v>3</v>
      </c>
      <c r="G1690" s="560" t="s">
        <v>286</v>
      </c>
      <c r="H1690" s="566">
        <v>3.8148667601683033</v>
      </c>
      <c r="I1690" s="567" t="s">
        <v>489</v>
      </c>
      <c r="J1690" s="568" t="s">
        <v>288</v>
      </c>
      <c r="L1690" s="373">
        <v>1</v>
      </c>
    </row>
    <row r="1691" spans="1:12" ht="21">
      <c r="A1691" s="565">
        <v>1686</v>
      </c>
      <c r="B1691" s="560" t="s">
        <v>278</v>
      </c>
      <c r="C1691" s="560" t="s">
        <v>535</v>
      </c>
      <c r="D1691" s="560" t="s">
        <v>291</v>
      </c>
      <c r="E1691" s="560">
        <v>164</v>
      </c>
      <c r="F1691" s="560">
        <v>5</v>
      </c>
      <c r="G1691" s="560" t="s">
        <v>286</v>
      </c>
      <c r="H1691" s="566">
        <v>4.6002805049088362</v>
      </c>
      <c r="I1691" s="567" t="s">
        <v>489</v>
      </c>
      <c r="J1691" s="568" t="s">
        <v>288</v>
      </c>
      <c r="L1691" s="373">
        <v>1</v>
      </c>
    </row>
    <row r="1692" spans="1:12">
      <c r="A1692" s="565">
        <v>1687</v>
      </c>
      <c r="B1692" s="560" t="s">
        <v>278</v>
      </c>
      <c r="C1692" s="560" t="s">
        <v>535</v>
      </c>
      <c r="D1692" s="560" t="s">
        <v>292</v>
      </c>
      <c r="E1692" s="560">
        <v>131</v>
      </c>
      <c r="F1692" s="560">
        <v>4</v>
      </c>
      <c r="G1692" s="560" t="s">
        <v>286</v>
      </c>
      <c r="H1692" s="566">
        <v>3.6746143057503509</v>
      </c>
      <c r="I1692" s="567" t="s">
        <v>288</v>
      </c>
      <c r="J1692" s="568" t="s">
        <v>288</v>
      </c>
      <c r="L1692" s="373">
        <v>1</v>
      </c>
    </row>
    <row r="1693" spans="1:12" ht="21">
      <c r="A1693" s="565">
        <v>1688</v>
      </c>
      <c r="B1693" s="560" t="s">
        <v>278</v>
      </c>
      <c r="C1693" s="560" t="s">
        <v>535</v>
      </c>
      <c r="D1693" s="560" t="s">
        <v>293</v>
      </c>
      <c r="E1693" s="560">
        <v>152</v>
      </c>
      <c r="F1693" s="560">
        <v>5</v>
      </c>
      <c r="G1693" s="560" t="s">
        <v>286</v>
      </c>
      <c r="H1693" s="566">
        <v>4.2636746143057502</v>
      </c>
      <c r="I1693" s="567" t="s">
        <v>489</v>
      </c>
      <c r="J1693" s="568" t="s">
        <v>474</v>
      </c>
      <c r="L1693" s="373">
        <v>1</v>
      </c>
    </row>
    <row r="1694" spans="1:12">
      <c r="A1694" s="565">
        <v>1689</v>
      </c>
      <c r="B1694" s="560" t="s">
        <v>278</v>
      </c>
      <c r="C1694" s="560" t="s">
        <v>535</v>
      </c>
      <c r="D1694" s="560" t="s">
        <v>292</v>
      </c>
      <c r="E1694" s="560">
        <v>128</v>
      </c>
      <c r="F1694" s="560">
        <v>4</v>
      </c>
      <c r="G1694" s="560" t="s">
        <v>286</v>
      </c>
      <c r="H1694" s="566">
        <v>3.5904628330995796</v>
      </c>
      <c r="I1694" s="567" t="s">
        <v>464</v>
      </c>
      <c r="J1694" s="568" t="s">
        <v>288</v>
      </c>
      <c r="L1694" s="373">
        <v>1</v>
      </c>
    </row>
    <row r="1695" spans="1:12" ht="21">
      <c r="A1695" s="565">
        <v>1690</v>
      </c>
      <c r="B1695" s="560" t="s">
        <v>278</v>
      </c>
      <c r="C1695" s="560" t="s">
        <v>535</v>
      </c>
      <c r="D1695" s="560" t="s">
        <v>291</v>
      </c>
      <c r="E1695" s="560">
        <v>147</v>
      </c>
      <c r="F1695" s="560">
        <v>3</v>
      </c>
      <c r="G1695" s="560" t="s">
        <v>286</v>
      </c>
      <c r="H1695" s="566">
        <v>4.1234221598877978</v>
      </c>
      <c r="I1695" s="567" t="s">
        <v>489</v>
      </c>
      <c r="J1695" s="568" t="s">
        <v>288</v>
      </c>
      <c r="L1695" s="373">
        <v>1</v>
      </c>
    </row>
    <row r="1696" spans="1:12" ht="21">
      <c r="A1696" s="565">
        <v>1691</v>
      </c>
      <c r="B1696" s="560" t="s">
        <v>278</v>
      </c>
      <c r="C1696" s="560" t="s">
        <v>535</v>
      </c>
      <c r="D1696" s="560" t="s">
        <v>291</v>
      </c>
      <c r="E1696" s="560">
        <v>152</v>
      </c>
      <c r="F1696" s="560">
        <v>4</v>
      </c>
      <c r="G1696" s="560" t="s">
        <v>286</v>
      </c>
      <c r="H1696" s="566">
        <v>4.2636746143057502</v>
      </c>
      <c r="I1696" s="567" t="s">
        <v>489</v>
      </c>
      <c r="J1696" s="568" t="s">
        <v>288</v>
      </c>
      <c r="L1696" s="373">
        <v>1</v>
      </c>
    </row>
    <row r="1697" spans="1:12">
      <c r="A1697" s="565">
        <v>1692</v>
      </c>
      <c r="B1697" s="560" t="s">
        <v>278</v>
      </c>
      <c r="C1697" s="560" t="s">
        <v>535</v>
      </c>
      <c r="D1697" s="560" t="s">
        <v>291</v>
      </c>
      <c r="E1697" s="560">
        <v>196</v>
      </c>
      <c r="F1697" s="560">
        <v>8</v>
      </c>
      <c r="G1697" s="560" t="s">
        <v>286</v>
      </c>
      <c r="H1697" s="566">
        <v>5.497896213183731</v>
      </c>
      <c r="I1697" s="567" t="s">
        <v>499</v>
      </c>
      <c r="J1697" s="568" t="s">
        <v>500</v>
      </c>
      <c r="L1697" s="373">
        <v>1</v>
      </c>
    </row>
    <row r="1698" spans="1:12">
      <c r="A1698" s="565">
        <v>1693</v>
      </c>
      <c r="B1698" s="560" t="s">
        <v>278</v>
      </c>
      <c r="C1698" s="560" t="s">
        <v>535</v>
      </c>
      <c r="D1698" s="560" t="s">
        <v>291</v>
      </c>
      <c r="E1698" s="560">
        <v>137</v>
      </c>
      <c r="F1698" s="560">
        <v>3</v>
      </c>
      <c r="G1698" s="560" t="s">
        <v>286</v>
      </c>
      <c r="H1698" s="566">
        <v>3.8429172510518934</v>
      </c>
      <c r="I1698" s="567" t="s">
        <v>499</v>
      </c>
      <c r="J1698" s="568" t="s">
        <v>288</v>
      </c>
      <c r="L1698" s="373">
        <v>1</v>
      </c>
    </row>
    <row r="1699" spans="1:12">
      <c r="A1699" s="565">
        <v>1694</v>
      </c>
      <c r="B1699" s="560" t="s">
        <v>278</v>
      </c>
      <c r="C1699" s="560" t="s">
        <v>535</v>
      </c>
      <c r="D1699" s="560" t="s">
        <v>291</v>
      </c>
      <c r="E1699" s="560">
        <v>158</v>
      </c>
      <c r="F1699" s="560">
        <v>6</v>
      </c>
      <c r="G1699" s="560" t="s">
        <v>286</v>
      </c>
      <c r="H1699" s="566">
        <v>4.4319775596072937</v>
      </c>
      <c r="I1699" s="567" t="s">
        <v>288</v>
      </c>
      <c r="J1699" s="568" t="s">
        <v>288</v>
      </c>
      <c r="L1699" s="373">
        <v>1</v>
      </c>
    </row>
    <row r="1700" spans="1:12">
      <c r="A1700" s="565">
        <v>1695</v>
      </c>
      <c r="B1700" s="560" t="s">
        <v>278</v>
      </c>
      <c r="C1700" s="560" t="s">
        <v>535</v>
      </c>
      <c r="D1700" s="560" t="s">
        <v>291</v>
      </c>
      <c r="E1700" s="560">
        <v>129</v>
      </c>
      <c r="F1700" s="560">
        <v>3</v>
      </c>
      <c r="G1700" s="560" t="s">
        <v>286</v>
      </c>
      <c r="H1700" s="566">
        <v>3.6185133239831697</v>
      </c>
      <c r="I1700" s="567" t="s">
        <v>464</v>
      </c>
      <c r="J1700" s="568" t="s">
        <v>288</v>
      </c>
      <c r="L1700" s="373">
        <v>1</v>
      </c>
    </row>
    <row r="1701" spans="1:12">
      <c r="A1701" s="565">
        <v>1696</v>
      </c>
      <c r="B1701" s="560" t="s">
        <v>278</v>
      </c>
      <c r="C1701" s="560" t="s">
        <v>527</v>
      </c>
      <c r="D1701" s="560" t="s">
        <v>292</v>
      </c>
      <c r="E1701" s="560">
        <v>122</v>
      </c>
      <c r="F1701" s="560">
        <v>3</v>
      </c>
      <c r="G1701" s="560" t="s">
        <v>286</v>
      </c>
      <c r="H1701" s="566">
        <v>3.4221598877980366</v>
      </c>
      <c r="I1701" s="567" t="s">
        <v>288</v>
      </c>
      <c r="J1701" s="568" t="s">
        <v>288</v>
      </c>
      <c r="L1701" s="373">
        <v>1</v>
      </c>
    </row>
    <row r="1702" spans="1:12">
      <c r="A1702" s="565">
        <v>1697</v>
      </c>
      <c r="B1702" s="560" t="s">
        <v>278</v>
      </c>
      <c r="C1702" s="560" t="s">
        <v>527</v>
      </c>
      <c r="D1702" s="560" t="s">
        <v>292</v>
      </c>
      <c r="E1702" s="560">
        <v>143</v>
      </c>
      <c r="F1702" s="560">
        <v>5</v>
      </c>
      <c r="G1702" s="560" t="s">
        <v>286</v>
      </c>
      <c r="H1702" s="566">
        <v>4.0112201963534364</v>
      </c>
      <c r="I1702" s="567" t="s">
        <v>288</v>
      </c>
      <c r="J1702" s="568" t="s">
        <v>288</v>
      </c>
      <c r="L1702" s="373">
        <v>1</v>
      </c>
    </row>
    <row r="1703" spans="1:12">
      <c r="A1703" s="565">
        <v>1698</v>
      </c>
      <c r="B1703" s="560" t="s">
        <v>278</v>
      </c>
      <c r="C1703" s="560" t="s">
        <v>527</v>
      </c>
      <c r="D1703" s="560" t="s">
        <v>291</v>
      </c>
      <c r="E1703" s="560">
        <v>183</v>
      </c>
      <c r="F1703" s="560">
        <v>7</v>
      </c>
      <c r="G1703" s="560" t="s">
        <v>286</v>
      </c>
      <c r="H1703" s="566">
        <v>5.1332398316970549</v>
      </c>
      <c r="I1703" s="567" t="s">
        <v>464</v>
      </c>
      <c r="J1703" s="568" t="s">
        <v>288</v>
      </c>
      <c r="L1703" s="373">
        <v>1</v>
      </c>
    </row>
    <row r="1704" spans="1:12" ht="21">
      <c r="A1704" s="565">
        <v>1699</v>
      </c>
      <c r="B1704" s="560" t="s">
        <v>278</v>
      </c>
      <c r="C1704" s="560" t="s">
        <v>527</v>
      </c>
      <c r="D1704" s="560" t="s">
        <v>291</v>
      </c>
      <c r="E1704" s="560">
        <v>127</v>
      </c>
      <c r="F1704" s="560">
        <v>4</v>
      </c>
      <c r="G1704" s="560" t="s">
        <v>286</v>
      </c>
      <c r="H1704" s="566">
        <v>3.562412342215989</v>
      </c>
      <c r="I1704" s="567" t="s">
        <v>464</v>
      </c>
      <c r="J1704" s="568" t="s">
        <v>506</v>
      </c>
      <c r="L1704" s="373">
        <v>1</v>
      </c>
    </row>
    <row r="1705" spans="1:12">
      <c r="A1705" s="565">
        <v>1700</v>
      </c>
      <c r="B1705" s="560" t="s">
        <v>278</v>
      </c>
      <c r="C1705" s="560" t="s">
        <v>527</v>
      </c>
      <c r="D1705" s="560" t="s">
        <v>291</v>
      </c>
      <c r="E1705" s="560">
        <v>152</v>
      </c>
      <c r="F1705" s="560">
        <v>5</v>
      </c>
      <c r="G1705" s="560" t="s">
        <v>286</v>
      </c>
      <c r="H1705" s="566">
        <v>4.2636746143057502</v>
      </c>
      <c r="I1705" s="567" t="s">
        <v>288</v>
      </c>
      <c r="J1705" s="568" t="s">
        <v>288</v>
      </c>
      <c r="L1705" s="373">
        <v>1</v>
      </c>
    </row>
    <row r="1706" spans="1:12">
      <c r="A1706" s="565">
        <v>1701</v>
      </c>
      <c r="B1706" s="560" t="s">
        <v>278</v>
      </c>
      <c r="C1706" s="560" t="s">
        <v>527</v>
      </c>
      <c r="D1706" s="560" t="s">
        <v>292</v>
      </c>
      <c r="E1706" s="560">
        <v>98</v>
      </c>
      <c r="F1706" s="560">
        <v>3</v>
      </c>
      <c r="G1706" s="560" t="str">
        <f>G1707</f>
        <v>prąd</v>
      </c>
      <c r="H1706" s="566">
        <v>19600</v>
      </c>
      <c r="I1706" s="567" t="s">
        <v>288</v>
      </c>
      <c r="J1706" s="568" t="s">
        <v>288</v>
      </c>
      <c r="L1706" s="373">
        <v>1</v>
      </c>
    </row>
    <row r="1707" spans="1:12">
      <c r="A1707" s="565">
        <v>1702</v>
      </c>
      <c r="B1707" s="560" t="s">
        <v>278</v>
      </c>
      <c r="C1707" s="560" t="s">
        <v>527</v>
      </c>
      <c r="D1707" s="560" t="s">
        <v>292</v>
      </c>
      <c r="E1707" s="560">
        <v>112</v>
      </c>
      <c r="F1707" s="560">
        <v>2</v>
      </c>
      <c r="G1707" s="560" t="str">
        <f>G1708</f>
        <v>prąd</v>
      </c>
      <c r="H1707" s="566">
        <v>22400</v>
      </c>
      <c r="I1707" s="567" t="s">
        <v>288</v>
      </c>
      <c r="J1707" s="568" t="s">
        <v>288</v>
      </c>
      <c r="L1707" s="373">
        <v>1</v>
      </c>
    </row>
    <row r="1708" spans="1:12">
      <c r="A1708" s="565">
        <v>1703</v>
      </c>
      <c r="B1708" s="560" t="s">
        <v>278</v>
      </c>
      <c r="C1708" s="560" t="s">
        <v>527</v>
      </c>
      <c r="D1708" s="560" t="s">
        <v>290</v>
      </c>
      <c r="E1708" s="560">
        <v>132</v>
      </c>
      <c r="F1708" s="560">
        <v>3</v>
      </c>
      <c r="G1708" s="560" t="s">
        <v>287</v>
      </c>
      <c r="H1708" s="566">
        <v>26400</v>
      </c>
      <c r="I1708" s="567" t="s">
        <v>288</v>
      </c>
      <c r="J1708" s="568" t="s">
        <v>288</v>
      </c>
      <c r="L1708" s="373">
        <v>1</v>
      </c>
    </row>
    <row r="1709" spans="1:12" ht="21">
      <c r="A1709" s="565">
        <v>1704</v>
      </c>
      <c r="B1709" s="560" t="s">
        <v>278</v>
      </c>
      <c r="C1709" s="560" t="s">
        <v>527</v>
      </c>
      <c r="D1709" s="560" t="s">
        <v>291</v>
      </c>
      <c r="E1709" s="560">
        <v>119</v>
      </c>
      <c r="F1709" s="560">
        <v>3</v>
      </c>
      <c r="G1709" s="560" t="s">
        <v>286</v>
      </c>
      <c r="H1709" s="566">
        <v>3.3380084151472653</v>
      </c>
      <c r="I1709" s="567" t="s">
        <v>489</v>
      </c>
      <c r="J1709" s="568" t="s">
        <v>288</v>
      </c>
      <c r="L1709" s="373">
        <v>1</v>
      </c>
    </row>
    <row r="1710" spans="1:12" ht="21">
      <c r="A1710" s="565">
        <v>1705</v>
      </c>
      <c r="B1710" s="560" t="s">
        <v>278</v>
      </c>
      <c r="C1710" s="560" t="s">
        <v>527</v>
      </c>
      <c r="D1710" s="560" t="s">
        <v>291</v>
      </c>
      <c r="E1710" s="560">
        <v>139</v>
      </c>
      <c r="F1710" s="560">
        <v>4</v>
      </c>
      <c r="G1710" s="560" t="s">
        <v>286</v>
      </c>
      <c r="H1710" s="566">
        <v>3.8990182328190746</v>
      </c>
      <c r="I1710" s="567" t="s">
        <v>489</v>
      </c>
      <c r="J1710" s="568" t="s">
        <v>288</v>
      </c>
      <c r="L1710" s="373">
        <v>1</v>
      </c>
    </row>
    <row r="1711" spans="1:12">
      <c r="A1711" s="565">
        <v>1706</v>
      </c>
      <c r="B1711" s="560" t="s">
        <v>278</v>
      </c>
      <c r="C1711" s="560" t="s">
        <v>527</v>
      </c>
      <c r="D1711" s="560" t="s">
        <v>292</v>
      </c>
      <c r="E1711" s="560">
        <v>112</v>
      </c>
      <c r="F1711" s="560">
        <v>2</v>
      </c>
      <c r="G1711" s="560" t="s">
        <v>286</v>
      </c>
      <c r="H1711" s="566">
        <v>3.1416549789621318</v>
      </c>
      <c r="I1711" s="567" t="s">
        <v>499</v>
      </c>
      <c r="J1711" s="568" t="s">
        <v>288</v>
      </c>
      <c r="L1711" s="373">
        <v>1</v>
      </c>
    </row>
    <row r="1712" spans="1:12">
      <c r="A1712" s="565">
        <v>1707</v>
      </c>
      <c r="B1712" s="560" t="s">
        <v>278</v>
      </c>
      <c r="C1712" s="560" t="s">
        <v>527</v>
      </c>
      <c r="D1712" s="560" t="s">
        <v>292</v>
      </c>
      <c r="E1712" s="560">
        <v>147</v>
      </c>
      <c r="F1712" s="560">
        <v>4</v>
      </c>
      <c r="G1712" s="560" t="s">
        <v>286</v>
      </c>
      <c r="H1712" s="566">
        <v>4.1234221598877978</v>
      </c>
      <c r="I1712" s="567" t="s">
        <v>288</v>
      </c>
      <c r="J1712" s="568" t="s">
        <v>288</v>
      </c>
      <c r="L1712" s="373">
        <v>1</v>
      </c>
    </row>
    <row r="1713" spans="1:12">
      <c r="A1713" s="565">
        <v>1708</v>
      </c>
      <c r="B1713" s="560" t="s">
        <v>278</v>
      </c>
      <c r="C1713" s="560" t="s">
        <v>527</v>
      </c>
      <c r="D1713" s="560" t="s">
        <v>292</v>
      </c>
      <c r="E1713" s="560">
        <v>92</v>
      </c>
      <c r="F1713" s="560">
        <v>2</v>
      </c>
      <c r="G1713" s="560" t="s">
        <v>286</v>
      </c>
      <c r="H1713" s="566">
        <v>2.5806451612903225</v>
      </c>
      <c r="I1713" s="567" t="s">
        <v>288</v>
      </c>
      <c r="J1713" s="568" t="s">
        <v>288</v>
      </c>
      <c r="L1713" s="373">
        <v>1</v>
      </c>
    </row>
    <row r="1714" spans="1:12">
      <c r="A1714" s="565">
        <v>1709</v>
      </c>
      <c r="B1714" s="560" t="s">
        <v>278</v>
      </c>
      <c r="C1714" s="560" t="s">
        <v>527</v>
      </c>
      <c r="D1714" s="560" t="s">
        <v>292</v>
      </c>
      <c r="E1714" s="560">
        <v>154</v>
      </c>
      <c r="F1714" s="560">
        <v>5</v>
      </c>
      <c r="G1714" s="560" t="s">
        <v>286</v>
      </c>
      <c r="H1714" s="566">
        <v>4.3197755960729314</v>
      </c>
      <c r="I1714" s="567" t="s">
        <v>288</v>
      </c>
      <c r="J1714" s="568" t="s">
        <v>288</v>
      </c>
      <c r="L1714" s="373">
        <v>1</v>
      </c>
    </row>
    <row r="1715" spans="1:12" ht="21">
      <c r="A1715" s="565">
        <v>1710</v>
      </c>
      <c r="B1715" s="560" t="s">
        <v>278</v>
      </c>
      <c r="C1715" s="560" t="s">
        <v>527</v>
      </c>
      <c r="D1715" s="560" t="s">
        <v>293</v>
      </c>
      <c r="E1715" s="560">
        <v>136</v>
      </c>
      <c r="F1715" s="560">
        <v>3</v>
      </c>
      <c r="G1715" s="560" t="s">
        <v>286</v>
      </c>
      <c r="H1715" s="566">
        <v>3.8148667601683033</v>
      </c>
      <c r="I1715" s="567" t="s">
        <v>489</v>
      </c>
      <c r="J1715" s="568" t="s">
        <v>288</v>
      </c>
      <c r="L1715" s="373">
        <v>1</v>
      </c>
    </row>
    <row r="1716" spans="1:12" ht="21">
      <c r="A1716" s="565">
        <v>1711</v>
      </c>
      <c r="B1716" s="560" t="s">
        <v>278</v>
      </c>
      <c r="C1716" s="560" t="s">
        <v>527</v>
      </c>
      <c r="D1716" s="560" t="s">
        <v>291</v>
      </c>
      <c r="E1716" s="560">
        <v>164</v>
      </c>
      <c r="F1716" s="560">
        <v>5</v>
      </c>
      <c r="G1716" s="560" t="s">
        <v>286</v>
      </c>
      <c r="H1716" s="566">
        <v>4.6002805049088362</v>
      </c>
      <c r="I1716" s="567" t="s">
        <v>489</v>
      </c>
      <c r="J1716" s="568" t="s">
        <v>288</v>
      </c>
      <c r="L1716" s="373">
        <v>1</v>
      </c>
    </row>
    <row r="1717" spans="1:12">
      <c r="A1717" s="565">
        <v>1712</v>
      </c>
      <c r="B1717" s="560" t="s">
        <v>278</v>
      </c>
      <c r="C1717" s="560" t="s">
        <v>527</v>
      </c>
      <c r="D1717" s="560" t="s">
        <v>292</v>
      </c>
      <c r="E1717" s="560">
        <v>131</v>
      </c>
      <c r="F1717" s="560">
        <v>4</v>
      </c>
      <c r="G1717" s="560" t="s">
        <v>286</v>
      </c>
      <c r="H1717" s="566">
        <v>3.6746143057503509</v>
      </c>
      <c r="I1717" s="567" t="s">
        <v>288</v>
      </c>
      <c r="J1717" s="568" t="s">
        <v>288</v>
      </c>
      <c r="L1717" s="373">
        <v>1</v>
      </c>
    </row>
    <row r="1718" spans="1:12" ht="21">
      <c r="A1718" s="565">
        <v>1713</v>
      </c>
      <c r="B1718" s="560" t="s">
        <v>278</v>
      </c>
      <c r="C1718" s="560" t="s">
        <v>527</v>
      </c>
      <c r="D1718" s="560" t="s">
        <v>293</v>
      </c>
      <c r="E1718" s="560">
        <v>152</v>
      </c>
      <c r="F1718" s="560">
        <v>5</v>
      </c>
      <c r="G1718" s="560" t="s">
        <v>286</v>
      </c>
      <c r="H1718" s="566">
        <v>4.2636746143057502</v>
      </c>
      <c r="I1718" s="567" t="s">
        <v>489</v>
      </c>
      <c r="J1718" s="568" t="s">
        <v>474</v>
      </c>
      <c r="L1718" s="373">
        <v>1</v>
      </c>
    </row>
    <row r="1719" spans="1:12">
      <c r="A1719" s="565">
        <v>1714</v>
      </c>
      <c r="B1719" s="560" t="s">
        <v>278</v>
      </c>
      <c r="C1719" s="560" t="s">
        <v>527</v>
      </c>
      <c r="D1719" s="560" t="s">
        <v>292</v>
      </c>
      <c r="E1719" s="560">
        <v>128</v>
      </c>
      <c r="F1719" s="560">
        <v>4</v>
      </c>
      <c r="G1719" s="560" t="s">
        <v>286</v>
      </c>
      <c r="H1719" s="566">
        <v>3.5904628330995796</v>
      </c>
      <c r="I1719" s="567" t="s">
        <v>464</v>
      </c>
      <c r="J1719" s="568" t="s">
        <v>288</v>
      </c>
      <c r="L1719" s="373">
        <v>1</v>
      </c>
    </row>
    <row r="1720" spans="1:12" ht="21">
      <c r="A1720" s="565">
        <v>1715</v>
      </c>
      <c r="B1720" s="560" t="s">
        <v>278</v>
      </c>
      <c r="C1720" s="560" t="s">
        <v>527</v>
      </c>
      <c r="D1720" s="560" t="s">
        <v>291</v>
      </c>
      <c r="E1720" s="560">
        <v>147</v>
      </c>
      <c r="F1720" s="560">
        <v>3</v>
      </c>
      <c r="G1720" s="560" t="s">
        <v>286</v>
      </c>
      <c r="H1720" s="566">
        <v>4.1234221598877978</v>
      </c>
      <c r="I1720" s="567" t="s">
        <v>489</v>
      </c>
      <c r="J1720" s="568" t="s">
        <v>288</v>
      </c>
      <c r="L1720" s="373">
        <v>1</v>
      </c>
    </row>
    <row r="1721" spans="1:12" ht="21">
      <c r="A1721" s="565">
        <v>1716</v>
      </c>
      <c r="B1721" s="560" t="s">
        <v>278</v>
      </c>
      <c r="C1721" s="560" t="s">
        <v>527</v>
      </c>
      <c r="D1721" s="560" t="s">
        <v>291</v>
      </c>
      <c r="E1721" s="560">
        <v>152</v>
      </c>
      <c r="F1721" s="560">
        <v>4</v>
      </c>
      <c r="G1721" s="560" t="s">
        <v>286</v>
      </c>
      <c r="H1721" s="566">
        <v>4.2636746143057502</v>
      </c>
      <c r="I1721" s="567" t="s">
        <v>489</v>
      </c>
      <c r="J1721" s="568" t="s">
        <v>288</v>
      </c>
      <c r="L1721" s="373">
        <v>1</v>
      </c>
    </row>
    <row r="1722" spans="1:12">
      <c r="A1722" s="565">
        <v>1717</v>
      </c>
      <c r="B1722" s="560" t="s">
        <v>278</v>
      </c>
      <c r="C1722" s="560" t="s">
        <v>527</v>
      </c>
      <c r="D1722" s="560" t="s">
        <v>291</v>
      </c>
      <c r="E1722" s="560">
        <v>196</v>
      </c>
      <c r="F1722" s="560">
        <v>8</v>
      </c>
      <c r="G1722" s="560" t="s">
        <v>286</v>
      </c>
      <c r="H1722" s="566">
        <v>5.497896213183731</v>
      </c>
      <c r="I1722" s="567" t="s">
        <v>499</v>
      </c>
      <c r="J1722" s="568" t="s">
        <v>500</v>
      </c>
      <c r="L1722" s="373">
        <v>1</v>
      </c>
    </row>
    <row r="1723" spans="1:12">
      <c r="A1723" s="565">
        <v>1718</v>
      </c>
      <c r="B1723" s="560" t="s">
        <v>278</v>
      </c>
      <c r="C1723" s="560" t="s">
        <v>527</v>
      </c>
      <c r="D1723" s="560" t="s">
        <v>291</v>
      </c>
      <c r="E1723" s="560">
        <v>137</v>
      </c>
      <c r="F1723" s="560">
        <v>3</v>
      </c>
      <c r="G1723" s="560" t="s">
        <v>286</v>
      </c>
      <c r="H1723" s="566">
        <v>3.8429172510518934</v>
      </c>
      <c r="I1723" s="567" t="s">
        <v>499</v>
      </c>
      <c r="J1723" s="568" t="s">
        <v>288</v>
      </c>
      <c r="L1723" s="373">
        <v>1</v>
      </c>
    </row>
    <row r="1724" spans="1:12">
      <c r="A1724" s="565">
        <v>1719</v>
      </c>
      <c r="B1724" s="560" t="s">
        <v>278</v>
      </c>
      <c r="C1724" s="560" t="s">
        <v>527</v>
      </c>
      <c r="D1724" s="560" t="s">
        <v>291</v>
      </c>
      <c r="E1724" s="560">
        <v>158</v>
      </c>
      <c r="F1724" s="560">
        <v>6</v>
      </c>
      <c r="G1724" s="560" t="s">
        <v>286</v>
      </c>
      <c r="H1724" s="566">
        <v>4.4319775596072937</v>
      </c>
      <c r="I1724" s="567" t="s">
        <v>288</v>
      </c>
      <c r="J1724" s="568" t="s">
        <v>288</v>
      </c>
      <c r="L1724" s="373">
        <v>1</v>
      </c>
    </row>
    <row r="1725" spans="1:12">
      <c r="A1725" s="565">
        <v>1720</v>
      </c>
      <c r="B1725" s="560" t="s">
        <v>278</v>
      </c>
      <c r="C1725" s="560" t="s">
        <v>527</v>
      </c>
      <c r="D1725" s="560" t="s">
        <v>291</v>
      </c>
      <c r="E1725" s="560">
        <v>129</v>
      </c>
      <c r="F1725" s="560">
        <v>3</v>
      </c>
      <c r="G1725" s="560" t="s">
        <v>286</v>
      </c>
      <c r="H1725" s="566">
        <v>3.6185133239831697</v>
      </c>
      <c r="I1725" s="567" t="s">
        <v>464</v>
      </c>
      <c r="J1725" s="568" t="s">
        <v>288</v>
      </c>
      <c r="L1725" s="373">
        <v>1</v>
      </c>
    </row>
    <row r="1726" spans="1:12">
      <c r="A1726" s="565">
        <v>1721</v>
      </c>
      <c r="B1726" s="560" t="s">
        <v>278</v>
      </c>
      <c r="C1726" s="560" t="s">
        <v>527</v>
      </c>
      <c r="D1726" s="560" t="s">
        <v>292</v>
      </c>
      <c r="E1726" s="560">
        <v>122</v>
      </c>
      <c r="F1726" s="560">
        <v>3</v>
      </c>
      <c r="G1726" s="560" t="s">
        <v>286</v>
      </c>
      <c r="H1726" s="566">
        <v>3.4221598877980366</v>
      </c>
      <c r="I1726" s="567" t="s">
        <v>288</v>
      </c>
      <c r="J1726" s="568" t="s">
        <v>288</v>
      </c>
      <c r="L1726" s="373">
        <v>1</v>
      </c>
    </row>
    <row r="1727" spans="1:12">
      <c r="A1727" s="565">
        <v>1722</v>
      </c>
      <c r="B1727" s="560" t="s">
        <v>278</v>
      </c>
      <c r="C1727" s="560" t="s">
        <v>527</v>
      </c>
      <c r="D1727" s="560" t="s">
        <v>292</v>
      </c>
      <c r="E1727" s="560">
        <v>143</v>
      </c>
      <c r="F1727" s="560">
        <v>5</v>
      </c>
      <c r="G1727" s="560" t="s">
        <v>286</v>
      </c>
      <c r="H1727" s="566">
        <v>4.0112201963534364</v>
      </c>
      <c r="I1727" s="567" t="s">
        <v>288</v>
      </c>
      <c r="J1727" s="568" t="s">
        <v>288</v>
      </c>
      <c r="L1727" s="373">
        <v>1</v>
      </c>
    </row>
    <row r="1728" spans="1:12">
      <c r="A1728" s="565">
        <v>1723</v>
      </c>
      <c r="B1728" s="560" t="s">
        <v>278</v>
      </c>
      <c r="C1728" s="560" t="s">
        <v>527</v>
      </c>
      <c r="D1728" s="560" t="s">
        <v>291</v>
      </c>
      <c r="E1728" s="560">
        <v>183</v>
      </c>
      <c r="F1728" s="560">
        <v>7</v>
      </c>
      <c r="G1728" s="560" t="s">
        <v>286</v>
      </c>
      <c r="H1728" s="566">
        <v>5.1332398316970549</v>
      </c>
      <c r="I1728" s="567" t="s">
        <v>464</v>
      </c>
      <c r="J1728" s="568" t="s">
        <v>288</v>
      </c>
      <c r="L1728" s="373">
        <v>1</v>
      </c>
    </row>
    <row r="1729" spans="1:12" ht="21">
      <c r="A1729" s="565">
        <v>1724</v>
      </c>
      <c r="B1729" s="560" t="s">
        <v>278</v>
      </c>
      <c r="C1729" s="560" t="s">
        <v>527</v>
      </c>
      <c r="D1729" s="560" t="s">
        <v>291</v>
      </c>
      <c r="E1729" s="560">
        <v>127</v>
      </c>
      <c r="F1729" s="560">
        <v>4</v>
      </c>
      <c r="G1729" s="560" t="s">
        <v>286</v>
      </c>
      <c r="H1729" s="566">
        <v>3.562412342215989</v>
      </c>
      <c r="I1729" s="567" t="s">
        <v>464</v>
      </c>
      <c r="J1729" s="568" t="s">
        <v>506</v>
      </c>
      <c r="L1729" s="373">
        <v>1</v>
      </c>
    </row>
    <row r="1730" spans="1:12">
      <c r="A1730" s="565">
        <v>1725</v>
      </c>
      <c r="B1730" s="560" t="s">
        <v>278</v>
      </c>
      <c r="C1730" s="560" t="s">
        <v>527</v>
      </c>
      <c r="D1730" s="560" t="s">
        <v>291</v>
      </c>
      <c r="E1730" s="560">
        <v>152</v>
      </c>
      <c r="F1730" s="560">
        <v>5</v>
      </c>
      <c r="G1730" s="560" t="s">
        <v>286</v>
      </c>
      <c r="H1730" s="566">
        <v>4.2636746143057502</v>
      </c>
      <c r="I1730" s="567" t="s">
        <v>288</v>
      </c>
      <c r="J1730" s="568" t="s">
        <v>288</v>
      </c>
      <c r="L1730" s="373">
        <v>1</v>
      </c>
    </row>
    <row r="1731" spans="1:12">
      <c r="A1731" s="565">
        <v>1726</v>
      </c>
      <c r="B1731" s="560" t="s">
        <v>278</v>
      </c>
      <c r="C1731" s="560" t="s">
        <v>527</v>
      </c>
      <c r="D1731" s="560" t="s">
        <v>292</v>
      </c>
      <c r="E1731" s="560">
        <v>98</v>
      </c>
      <c r="F1731" s="560">
        <v>3</v>
      </c>
      <c r="G1731" s="560" t="s">
        <v>286</v>
      </c>
      <c r="H1731" s="566">
        <v>2.7489481065918655</v>
      </c>
      <c r="I1731" s="567" t="s">
        <v>288</v>
      </c>
      <c r="J1731" s="568" t="s">
        <v>288</v>
      </c>
      <c r="L1731" s="373">
        <v>1</v>
      </c>
    </row>
    <row r="1732" spans="1:12">
      <c r="A1732" s="565">
        <v>1727</v>
      </c>
      <c r="B1732" s="560" t="s">
        <v>278</v>
      </c>
      <c r="C1732" s="560" t="s">
        <v>527</v>
      </c>
      <c r="D1732" s="560" t="s">
        <v>292</v>
      </c>
      <c r="E1732" s="560">
        <v>112</v>
      </c>
      <c r="F1732" s="560">
        <v>2</v>
      </c>
      <c r="G1732" s="560" t="s">
        <v>286</v>
      </c>
      <c r="H1732" s="566">
        <v>3.1416549789621318</v>
      </c>
      <c r="I1732" s="567" t="s">
        <v>288</v>
      </c>
      <c r="J1732" s="568" t="s">
        <v>288</v>
      </c>
      <c r="L1732" s="373">
        <v>1</v>
      </c>
    </row>
    <row r="1733" spans="1:12">
      <c r="A1733" s="565">
        <v>1728</v>
      </c>
      <c r="B1733" s="560" t="s">
        <v>278</v>
      </c>
      <c r="C1733" s="560" t="s">
        <v>527</v>
      </c>
      <c r="D1733" s="560" t="s">
        <v>290</v>
      </c>
      <c r="E1733" s="560">
        <v>132</v>
      </c>
      <c r="F1733" s="560">
        <v>3</v>
      </c>
      <c r="G1733" s="560" t="s">
        <v>286</v>
      </c>
      <c r="H1733" s="566">
        <v>3.7026647966339414</v>
      </c>
      <c r="I1733" s="567" t="s">
        <v>288</v>
      </c>
      <c r="J1733" s="568" t="s">
        <v>288</v>
      </c>
      <c r="L1733" s="373">
        <v>1</v>
      </c>
    </row>
    <row r="1734" spans="1:12" ht="21">
      <c r="A1734" s="565">
        <v>1729</v>
      </c>
      <c r="B1734" s="560" t="s">
        <v>278</v>
      </c>
      <c r="C1734" s="560" t="s">
        <v>534</v>
      </c>
      <c r="D1734" s="560" t="s">
        <v>291</v>
      </c>
      <c r="E1734" s="560">
        <v>119</v>
      </c>
      <c r="F1734" s="560">
        <v>3</v>
      </c>
      <c r="G1734" s="560" t="s">
        <v>286</v>
      </c>
      <c r="H1734" s="566">
        <v>3.3380084151472653</v>
      </c>
      <c r="I1734" s="567" t="s">
        <v>489</v>
      </c>
      <c r="J1734" s="568" t="s">
        <v>288</v>
      </c>
      <c r="L1734" s="373">
        <v>1</v>
      </c>
    </row>
    <row r="1735" spans="1:12">
      <c r="A1735" s="565">
        <v>1730</v>
      </c>
      <c r="B1735" s="560" t="s">
        <v>278</v>
      </c>
      <c r="C1735" s="560" t="s">
        <v>534</v>
      </c>
      <c r="D1735" s="560" t="s">
        <v>532</v>
      </c>
      <c r="E1735" s="560">
        <v>106</v>
      </c>
      <c r="F1735" s="560">
        <v>3</v>
      </c>
      <c r="G1735" s="560" t="s">
        <v>286</v>
      </c>
      <c r="H1735" s="566">
        <v>2.9733520336605892</v>
      </c>
      <c r="I1735" s="567" t="s">
        <v>288</v>
      </c>
      <c r="J1735" s="568" t="s">
        <v>288</v>
      </c>
      <c r="L1735" s="373">
        <v>1</v>
      </c>
    </row>
    <row r="1736" spans="1:12" ht="21">
      <c r="A1736" s="565">
        <v>1731</v>
      </c>
      <c r="B1736" s="560" t="s">
        <v>278</v>
      </c>
      <c r="C1736" s="560" t="s">
        <v>534</v>
      </c>
      <c r="D1736" s="560" t="s">
        <v>507</v>
      </c>
      <c r="E1736" s="560">
        <v>93</v>
      </c>
      <c r="F1736" s="560">
        <v>3</v>
      </c>
      <c r="G1736" s="560" t="s">
        <v>286</v>
      </c>
      <c r="H1736" s="566">
        <v>2.6086956521739131</v>
      </c>
      <c r="I1736" s="567" t="s">
        <v>489</v>
      </c>
      <c r="J1736" s="568" t="s">
        <v>288</v>
      </c>
      <c r="L1736" s="373">
        <v>1</v>
      </c>
    </row>
    <row r="1737" spans="1:12">
      <c r="A1737" s="565">
        <v>1732</v>
      </c>
      <c r="B1737" s="560" t="s">
        <v>278</v>
      </c>
      <c r="C1737" s="560" t="s">
        <v>534</v>
      </c>
      <c r="D1737" s="560" t="s">
        <v>532</v>
      </c>
      <c r="E1737" s="560">
        <v>80</v>
      </c>
      <c r="F1737" s="560">
        <v>3</v>
      </c>
      <c r="G1737" s="560" t="s">
        <v>286</v>
      </c>
      <c r="H1737" s="566">
        <v>2.244039270687237</v>
      </c>
      <c r="I1737" s="567" t="s">
        <v>288</v>
      </c>
      <c r="J1737" s="568" t="s">
        <v>288</v>
      </c>
      <c r="L1737" s="373">
        <v>1</v>
      </c>
    </row>
    <row r="1738" spans="1:12" ht="21">
      <c r="A1738" s="565">
        <v>1733</v>
      </c>
      <c r="B1738" s="560" t="s">
        <v>278</v>
      </c>
      <c r="C1738" s="560" t="s">
        <v>534</v>
      </c>
      <c r="D1738" s="560" t="s">
        <v>507</v>
      </c>
      <c r="E1738" s="560">
        <v>67</v>
      </c>
      <c r="F1738" s="560">
        <v>3</v>
      </c>
      <c r="G1738" s="560" t="s">
        <v>286</v>
      </c>
      <c r="H1738" s="566">
        <v>1.8793828892005611</v>
      </c>
      <c r="I1738" s="567" t="s">
        <v>489</v>
      </c>
      <c r="J1738" s="568" t="s">
        <v>288</v>
      </c>
      <c r="L1738" s="373">
        <v>1</v>
      </c>
    </row>
    <row r="1739" spans="1:12">
      <c r="A1739" s="565">
        <v>1734</v>
      </c>
      <c r="B1739" s="560" t="s">
        <v>278</v>
      </c>
      <c r="C1739" s="560" t="s">
        <v>534</v>
      </c>
      <c r="D1739" s="560" t="s">
        <v>290</v>
      </c>
      <c r="E1739" s="560">
        <v>97</v>
      </c>
      <c r="F1739" s="560">
        <v>2</v>
      </c>
      <c r="G1739" s="560" t="s">
        <v>286</v>
      </c>
      <c r="H1739" s="566">
        <v>2.7208976157082749</v>
      </c>
      <c r="I1739" s="567" t="s">
        <v>288</v>
      </c>
      <c r="J1739" s="568" t="s">
        <v>288</v>
      </c>
      <c r="L1739" s="373">
        <v>1</v>
      </c>
    </row>
    <row r="1740" spans="1:12">
      <c r="A1740" s="565">
        <v>1735</v>
      </c>
      <c r="B1740" s="560" t="s">
        <v>278</v>
      </c>
      <c r="C1740" s="560" t="s">
        <v>534</v>
      </c>
      <c r="D1740" s="560" t="s">
        <v>291</v>
      </c>
      <c r="E1740" s="560">
        <v>111</v>
      </c>
      <c r="F1740" s="560">
        <v>4</v>
      </c>
      <c r="G1740" s="560" t="s">
        <v>286</v>
      </c>
      <c r="H1740" s="566">
        <v>3.1136044880785416</v>
      </c>
      <c r="I1740" s="567" t="s">
        <v>464</v>
      </c>
      <c r="J1740" s="568" t="s">
        <v>288</v>
      </c>
      <c r="L1740" s="373">
        <v>1</v>
      </c>
    </row>
    <row r="1741" spans="1:12" ht="21">
      <c r="A1741" s="565">
        <v>1736</v>
      </c>
      <c r="B1741" s="560" t="s">
        <v>278</v>
      </c>
      <c r="C1741" s="560" t="s">
        <v>534</v>
      </c>
      <c r="D1741" s="560" t="s">
        <v>292</v>
      </c>
      <c r="E1741" s="560">
        <v>147</v>
      </c>
      <c r="F1741" s="560">
        <v>3</v>
      </c>
      <c r="G1741" s="560" t="s">
        <v>286</v>
      </c>
      <c r="H1741" s="566">
        <v>4.1234221598877978</v>
      </c>
      <c r="I1741" s="567" t="s">
        <v>464</v>
      </c>
      <c r="J1741" s="568" t="s">
        <v>506</v>
      </c>
      <c r="L1741" s="373">
        <v>1</v>
      </c>
    </row>
    <row r="1742" spans="1:12">
      <c r="A1742" s="565">
        <v>1737</v>
      </c>
      <c r="B1742" s="560" t="s">
        <v>278</v>
      </c>
      <c r="C1742" s="560" t="s">
        <v>534</v>
      </c>
      <c r="D1742" s="560" t="s">
        <v>290</v>
      </c>
      <c r="E1742" s="560">
        <v>110</v>
      </c>
      <c r="F1742" s="560">
        <v>2</v>
      </c>
      <c r="G1742" s="560" t="s">
        <v>286</v>
      </c>
      <c r="H1742" s="566">
        <v>3.085553997194951</v>
      </c>
      <c r="I1742" s="567" t="s">
        <v>288</v>
      </c>
      <c r="J1742" s="568" t="s">
        <v>288</v>
      </c>
      <c r="L1742" s="373">
        <v>1</v>
      </c>
    </row>
    <row r="1743" spans="1:12">
      <c r="A1743" s="565">
        <v>1738</v>
      </c>
      <c r="B1743" s="560" t="s">
        <v>278</v>
      </c>
      <c r="C1743" s="560" t="s">
        <v>534</v>
      </c>
      <c r="D1743" s="560" t="s">
        <v>291</v>
      </c>
      <c r="E1743" s="560">
        <v>143</v>
      </c>
      <c r="F1743" s="560">
        <v>3</v>
      </c>
      <c r="G1743" s="560" t="s">
        <v>286</v>
      </c>
      <c r="H1743" s="566">
        <v>4.0112201963534364</v>
      </c>
      <c r="I1743" s="567" t="s">
        <v>499</v>
      </c>
      <c r="J1743" s="568" t="s">
        <v>288</v>
      </c>
      <c r="L1743" s="373">
        <v>1</v>
      </c>
    </row>
    <row r="1744" spans="1:12" ht="21">
      <c r="A1744" s="565">
        <v>1739</v>
      </c>
      <c r="B1744" s="560" t="s">
        <v>278</v>
      </c>
      <c r="C1744" s="560" t="s">
        <v>534</v>
      </c>
      <c r="D1744" s="560" t="s">
        <v>293</v>
      </c>
      <c r="E1744" s="560">
        <v>136</v>
      </c>
      <c r="F1744" s="560">
        <v>4</v>
      </c>
      <c r="G1744" s="560" t="s">
        <v>286</v>
      </c>
      <c r="H1744" s="566">
        <v>3.8148667601683033</v>
      </c>
      <c r="I1744" s="567" t="s">
        <v>489</v>
      </c>
      <c r="J1744" s="568" t="s">
        <v>474</v>
      </c>
      <c r="L1744" s="373">
        <v>1</v>
      </c>
    </row>
    <row r="1745" spans="1:12" ht="21">
      <c r="A1745" s="565">
        <v>1740</v>
      </c>
      <c r="B1745" s="560" t="s">
        <v>278</v>
      </c>
      <c r="C1745" s="560" t="s">
        <v>534</v>
      </c>
      <c r="D1745" s="560" t="s">
        <v>291</v>
      </c>
      <c r="E1745" s="560">
        <v>162</v>
      </c>
      <c r="F1745" s="560">
        <v>5</v>
      </c>
      <c r="G1745" s="560" t="s">
        <v>286</v>
      </c>
      <c r="H1745" s="566">
        <v>4.5441795231416551</v>
      </c>
      <c r="I1745" s="567" t="s">
        <v>489</v>
      </c>
      <c r="J1745" s="568" t="s">
        <v>288</v>
      </c>
      <c r="L1745" s="373">
        <v>1</v>
      </c>
    </row>
    <row r="1746" spans="1:12">
      <c r="A1746" s="565">
        <v>1741</v>
      </c>
      <c r="B1746" s="560" t="s">
        <v>278</v>
      </c>
      <c r="C1746" s="560" t="s">
        <v>534</v>
      </c>
      <c r="D1746" s="560" t="s">
        <v>292</v>
      </c>
      <c r="E1746" s="560">
        <v>112</v>
      </c>
      <c r="F1746" s="560">
        <v>2</v>
      </c>
      <c r="G1746" s="560" t="str">
        <f>G1747</f>
        <v>prąd</v>
      </c>
      <c r="H1746" s="566">
        <v>22400</v>
      </c>
      <c r="I1746" s="567" t="s">
        <v>288</v>
      </c>
      <c r="J1746" s="568" t="s">
        <v>288</v>
      </c>
      <c r="L1746" s="373">
        <v>1</v>
      </c>
    </row>
    <row r="1747" spans="1:12">
      <c r="A1747" s="565">
        <v>1742</v>
      </c>
      <c r="B1747" s="560" t="s">
        <v>278</v>
      </c>
      <c r="C1747" s="560" t="s">
        <v>534</v>
      </c>
      <c r="D1747" s="560" t="s">
        <v>291</v>
      </c>
      <c r="E1747" s="560">
        <v>143</v>
      </c>
      <c r="F1747" s="560">
        <v>3</v>
      </c>
      <c r="G1747" s="560" t="str">
        <f>G1748</f>
        <v>prąd</v>
      </c>
      <c r="H1747" s="566">
        <v>28600</v>
      </c>
      <c r="I1747" s="567" t="s">
        <v>464</v>
      </c>
      <c r="J1747" s="568" t="s">
        <v>288</v>
      </c>
      <c r="L1747" s="373">
        <v>1</v>
      </c>
    </row>
    <row r="1748" spans="1:12">
      <c r="A1748" s="565">
        <v>1743</v>
      </c>
      <c r="B1748" s="560" t="s">
        <v>278</v>
      </c>
      <c r="C1748" s="560" t="s">
        <v>534</v>
      </c>
      <c r="D1748" s="560" t="s">
        <v>291</v>
      </c>
      <c r="E1748" s="560">
        <v>158</v>
      </c>
      <c r="F1748" s="560">
        <v>5</v>
      </c>
      <c r="G1748" s="560" t="s">
        <v>287</v>
      </c>
      <c r="H1748" s="566">
        <v>31600</v>
      </c>
      <c r="I1748" s="567" t="s">
        <v>499</v>
      </c>
      <c r="J1748" s="568" t="s">
        <v>288</v>
      </c>
      <c r="L1748" s="373">
        <v>1</v>
      </c>
    </row>
    <row r="1749" spans="1:12">
      <c r="A1749" s="565">
        <v>1744</v>
      </c>
      <c r="B1749" s="560" t="s">
        <v>278</v>
      </c>
      <c r="C1749" s="560" t="s">
        <v>534</v>
      </c>
      <c r="D1749" s="560" t="s">
        <v>292</v>
      </c>
      <c r="E1749" s="560">
        <v>115</v>
      </c>
      <c r="F1749" s="560">
        <v>3</v>
      </c>
      <c r="G1749" s="560" t="s">
        <v>286</v>
      </c>
      <c r="H1749" s="566">
        <v>3.2258064516129035</v>
      </c>
      <c r="I1749" s="567" t="s">
        <v>464</v>
      </c>
      <c r="J1749" s="568" t="s">
        <v>288</v>
      </c>
      <c r="L1749" s="373">
        <v>1</v>
      </c>
    </row>
    <row r="1750" spans="1:12">
      <c r="A1750" s="565">
        <v>1745</v>
      </c>
      <c r="B1750" s="560" t="s">
        <v>278</v>
      </c>
      <c r="C1750" s="560" t="s">
        <v>534</v>
      </c>
      <c r="D1750" s="560" t="s">
        <v>291</v>
      </c>
      <c r="E1750" s="560">
        <v>133</v>
      </c>
      <c r="F1750" s="560">
        <v>3</v>
      </c>
      <c r="G1750" s="560" t="s">
        <v>286</v>
      </c>
      <c r="H1750" s="566">
        <v>3.7307152875175316</v>
      </c>
      <c r="I1750" s="567" t="s">
        <v>288</v>
      </c>
      <c r="J1750" s="568" t="s">
        <v>288</v>
      </c>
      <c r="L1750" s="373">
        <v>1</v>
      </c>
    </row>
    <row r="1751" spans="1:12">
      <c r="A1751" s="565">
        <v>1746</v>
      </c>
      <c r="B1751" s="560" t="s">
        <v>278</v>
      </c>
      <c r="C1751" s="560" t="s">
        <v>534</v>
      </c>
      <c r="D1751" s="560" t="s">
        <v>291</v>
      </c>
      <c r="E1751" s="560">
        <v>142</v>
      </c>
      <c r="F1751" s="560">
        <v>4</v>
      </c>
      <c r="G1751" s="560" t="s">
        <v>286</v>
      </c>
      <c r="H1751" s="566">
        <v>3.9831697054698458</v>
      </c>
      <c r="I1751" s="567" t="s">
        <v>464</v>
      </c>
      <c r="J1751" s="568" t="s">
        <v>288</v>
      </c>
      <c r="L1751" s="373">
        <v>1</v>
      </c>
    </row>
    <row r="1752" spans="1:12">
      <c r="A1752" s="565">
        <v>1747</v>
      </c>
      <c r="B1752" s="560" t="s">
        <v>278</v>
      </c>
      <c r="C1752" s="560" t="s">
        <v>534</v>
      </c>
      <c r="D1752" s="560" t="s">
        <v>292</v>
      </c>
      <c r="E1752" s="560">
        <v>156</v>
      </c>
      <c r="F1752" s="560">
        <v>5</v>
      </c>
      <c r="G1752" s="560" t="s">
        <v>286</v>
      </c>
      <c r="H1752" s="566">
        <v>4.3758765778401125</v>
      </c>
      <c r="I1752" s="567" t="s">
        <v>288</v>
      </c>
      <c r="J1752" s="568" t="s">
        <v>288</v>
      </c>
      <c r="L1752" s="373">
        <v>1</v>
      </c>
    </row>
    <row r="1753" spans="1:12" ht="21">
      <c r="A1753" s="565">
        <v>1748</v>
      </c>
      <c r="B1753" s="560" t="s">
        <v>278</v>
      </c>
      <c r="C1753" s="560" t="s">
        <v>534</v>
      </c>
      <c r="D1753" s="560" t="s">
        <v>291</v>
      </c>
      <c r="E1753" s="560">
        <v>168</v>
      </c>
      <c r="F1753" s="560">
        <v>7</v>
      </c>
      <c r="G1753" s="560" t="s">
        <v>286</v>
      </c>
      <c r="H1753" s="566">
        <v>4.7124824684431976</v>
      </c>
      <c r="I1753" s="567" t="s">
        <v>464</v>
      </c>
      <c r="J1753" s="568" t="s">
        <v>506</v>
      </c>
      <c r="L1753" s="373">
        <v>1</v>
      </c>
    </row>
    <row r="1754" spans="1:12">
      <c r="A1754" s="565">
        <v>1749</v>
      </c>
      <c r="B1754" s="560" t="s">
        <v>278</v>
      </c>
      <c r="C1754" s="560" t="s">
        <v>534</v>
      </c>
      <c r="D1754" s="560" t="s">
        <v>292</v>
      </c>
      <c r="E1754" s="560">
        <v>157</v>
      </c>
      <c r="F1754" s="560">
        <v>6</v>
      </c>
      <c r="G1754" s="560" t="s">
        <v>286</v>
      </c>
      <c r="H1754" s="566">
        <v>4.4039270687237027</v>
      </c>
      <c r="I1754" s="567" t="s">
        <v>464</v>
      </c>
      <c r="J1754" s="568" t="s">
        <v>288</v>
      </c>
      <c r="L1754" s="373">
        <v>1</v>
      </c>
    </row>
    <row r="1755" spans="1:12">
      <c r="A1755" s="565">
        <v>1750</v>
      </c>
      <c r="B1755" s="560" t="s">
        <v>278</v>
      </c>
      <c r="C1755" s="560" t="s">
        <v>534</v>
      </c>
      <c r="D1755" s="560" t="s">
        <v>291</v>
      </c>
      <c r="E1755" s="560">
        <v>152</v>
      </c>
      <c r="F1755" s="560">
        <v>5</v>
      </c>
      <c r="G1755" s="560" t="s">
        <v>286</v>
      </c>
      <c r="H1755" s="566">
        <v>4.2636746143057502</v>
      </c>
      <c r="I1755" s="567" t="s">
        <v>499</v>
      </c>
      <c r="J1755" s="568" t="s">
        <v>288</v>
      </c>
      <c r="L1755" s="373">
        <v>1</v>
      </c>
    </row>
    <row r="1756" spans="1:12">
      <c r="A1756" s="565">
        <v>1751</v>
      </c>
      <c r="B1756" s="560" t="s">
        <v>278</v>
      </c>
      <c r="C1756" s="560" t="s">
        <v>534</v>
      </c>
      <c r="D1756" s="560" t="s">
        <v>292</v>
      </c>
      <c r="E1756" s="560">
        <v>141</v>
      </c>
      <c r="F1756" s="560">
        <v>4</v>
      </c>
      <c r="G1756" s="560" t="s">
        <v>286</v>
      </c>
      <c r="H1756" s="566">
        <v>3.9551192145862553</v>
      </c>
      <c r="I1756" s="567" t="s">
        <v>464</v>
      </c>
      <c r="J1756" s="568" t="s">
        <v>288</v>
      </c>
      <c r="L1756" s="373">
        <v>1</v>
      </c>
    </row>
    <row r="1757" spans="1:12">
      <c r="A1757" s="565">
        <v>1752</v>
      </c>
      <c r="B1757" s="560" t="s">
        <v>278</v>
      </c>
      <c r="C1757" s="560" t="s">
        <v>534</v>
      </c>
      <c r="D1757" s="560" t="s">
        <v>292</v>
      </c>
      <c r="E1757" s="560">
        <v>138</v>
      </c>
      <c r="F1757" s="560">
        <v>3</v>
      </c>
      <c r="G1757" s="560" t="s">
        <v>286</v>
      </c>
      <c r="H1757" s="566">
        <v>3.870967741935484</v>
      </c>
      <c r="I1757" s="567" t="s">
        <v>464</v>
      </c>
      <c r="J1757" s="568" t="s">
        <v>288</v>
      </c>
      <c r="L1757" s="373">
        <v>1</v>
      </c>
    </row>
    <row r="1758" spans="1:12">
      <c r="A1758" s="565">
        <v>1753</v>
      </c>
      <c r="B1758" s="560" t="s">
        <v>278</v>
      </c>
      <c r="C1758" s="560" t="s">
        <v>534</v>
      </c>
      <c r="D1758" s="560" t="s">
        <v>292</v>
      </c>
      <c r="E1758" s="560">
        <v>147</v>
      </c>
      <c r="F1758" s="560">
        <v>5</v>
      </c>
      <c r="G1758" s="560" t="s">
        <v>286</v>
      </c>
      <c r="H1758" s="566">
        <v>4.1234221598877978</v>
      </c>
      <c r="I1758" s="567" t="s">
        <v>288</v>
      </c>
      <c r="J1758" s="568" t="s">
        <v>288</v>
      </c>
      <c r="L1758" s="373">
        <v>1</v>
      </c>
    </row>
    <row r="1759" spans="1:12">
      <c r="A1759" s="565">
        <v>1754</v>
      </c>
      <c r="B1759" s="560" t="s">
        <v>278</v>
      </c>
      <c r="C1759" s="560" t="s">
        <v>534</v>
      </c>
      <c r="D1759" s="560" t="s">
        <v>291</v>
      </c>
      <c r="E1759" s="560">
        <v>110</v>
      </c>
      <c r="F1759" s="560">
        <v>2</v>
      </c>
      <c r="G1759" s="560" t="s">
        <v>286</v>
      </c>
      <c r="H1759" s="566">
        <v>3.085553997194951</v>
      </c>
      <c r="I1759" s="567" t="s">
        <v>464</v>
      </c>
      <c r="J1759" s="568" t="s">
        <v>288</v>
      </c>
      <c r="L1759" s="373">
        <v>1</v>
      </c>
    </row>
    <row r="1760" spans="1:12">
      <c r="A1760" s="565">
        <v>1755</v>
      </c>
      <c r="B1760" s="560" t="s">
        <v>278</v>
      </c>
      <c r="C1760" s="560" t="s">
        <v>534</v>
      </c>
      <c r="D1760" s="560" t="s">
        <v>292</v>
      </c>
      <c r="E1760" s="560">
        <v>97</v>
      </c>
      <c r="F1760" s="560">
        <v>3</v>
      </c>
      <c r="G1760" s="560" t="s">
        <v>286</v>
      </c>
      <c r="H1760" s="566">
        <v>2.7208976157082749</v>
      </c>
      <c r="I1760" s="567" t="s">
        <v>288</v>
      </c>
      <c r="J1760" s="568" t="s">
        <v>288</v>
      </c>
      <c r="L1760" s="373">
        <v>1</v>
      </c>
    </row>
    <row r="1761" spans="1:12">
      <c r="A1761" s="565">
        <v>1756</v>
      </c>
      <c r="B1761" s="560" t="s">
        <v>278</v>
      </c>
      <c r="C1761" s="560" t="s">
        <v>534</v>
      </c>
      <c r="D1761" s="560" t="s">
        <v>291</v>
      </c>
      <c r="E1761" s="560">
        <v>152</v>
      </c>
      <c r="F1761" s="560">
        <v>4</v>
      </c>
      <c r="G1761" s="560" t="s">
        <v>286</v>
      </c>
      <c r="H1761" s="566">
        <v>4.2636746143057502</v>
      </c>
      <c r="I1761" s="567" t="s">
        <v>464</v>
      </c>
      <c r="J1761" s="568" t="s">
        <v>288</v>
      </c>
      <c r="L1761" s="373">
        <v>1</v>
      </c>
    </row>
    <row r="1762" spans="1:12">
      <c r="A1762" s="565">
        <v>1757</v>
      </c>
      <c r="B1762" s="560" t="s">
        <v>278</v>
      </c>
      <c r="C1762" s="560" t="s">
        <v>534</v>
      </c>
      <c r="D1762" s="560" t="s">
        <v>292</v>
      </c>
      <c r="E1762" s="560">
        <v>148</v>
      </c>
      <c r="F1762" s="560">
        <v>5</v>
      </c>
      <c r="G1762" s="560" t="s">
        <v>286</v>
      </c>
      <c r="H1762" s="566">
        <v>4.1514726507713888</v>
      </c>
      <c r="I1762" s="567" t="s">
        <v>288</v>
      </c>
      <c r="J1762" s="568" t="s">
        <v>288</v>
      </c>
      <c r="L1762" s="373">
        <v>1</v>
      </c>
    </row>
    <row r="1763" spans="1:12">
      <c r="A1763" s="565">
        <v>1758</v>
      </c>
      <c r="B1763" s="560" t="s">
        <v>278</v>
      </c>
      <c r="C1763" s="560" t="s">
        <v>534</v>
      </c>
      <c r="D1763" s="560" t="s">
        <v>292</v>
      </c>
      <c r="E1763" s="560">
        <v>115</v>
      </c>
      <c r="F1763" s="560">
        <v>3</v>
      </c>
      <c r="G1763" s="560" t="s">
        <v>286</v>
      </c>
      <c r="H1763" s="566">
        <v>3.2258064516129035</v>
      </c>
      <c r="I1763" s="567" t="s">
        <v>288</v>
      </c>
      <c r="J1763" s="568" t="s">
        <v>288</v>
      </c>
      <c r="L1763" s="373">
        <v>1</v>
      </c>
    </row>
    <row r="1764" spans="1:12">
      <c r="A1764" s="565">
        <v>1759</v>
      </c>
      <c r="B1764" s="560" t="s">
        <v>278</v>
      </c>
      <c r="C1764" s="560" t="s">
        <v>534</v>
      </c>
      <c r="D1764" s="560" t="s">
        <v>292</v>
      </c>
      <c r="E1764" s="560">
        <v>116</v>
      </c>
      <c r="F1764" s="560">
        <v>2</v>
      </c>
      <c r="G1764" s="560" t="s">
        <v>286</v>
      </c>
      <c r="H1764" s="566">
        <v>3.2538569424964936</v>
      </c>
      <c r="I1764" s="567" t="s">
        <v>288</v>
      </c>
      <c r="J1764" s="568" t="s">
        <v>288</v>
      </c>
      <c r="L1764" s="373">
        <v>1</v>
      </c>
    </row>
    <row r="1765" spans="1:12" ht="21">
      <c r="A1765" s="565">
        <v>1760</v>
      </c>
      <c r="B1765" s="560" t="s">
        <v>278</v>
      </c>
      <c r="C1765" s="560" t="s">
        <v>534</v>
      </c>
      <c r="D1765" s="560" t="s">
        <v>291</v>
      </c>
      <c r="E1765" s="560">
        <v>127</v>
      </c>
      <c r="F1765" s="560">
        <v>4</v>
      </c>
      <c r="G1765" s="560" t="s">
        <v>286</v>
      </c>
      <c r="H1765" s="566">
        <v>3.562412342215989</v>
      </c>
      <c r="I1765" s="567" t="s">
        <v>489</v>
      </c>
      <c r="J1765" s="568" t="s">
        <v>288</v>
      </c>
      <c r="L1765" s="373">
        <v>1</v>
      </c>
    </row>
    <row r="1766" spans="1:12">
      <c r="A1766" s="565">
        <v>1761</v>
      </c>
      <c r="B1766" s="560" t="s">
        <v>278</v>
      </c>
      <c r="C1766" s="560" t="s">
        <v>534</v>
      </c>
      <c r="D1766" s="560" t="s">
        <v>292</v>
      </c>
      <c r="E1766" s="560">
        <v>132</v>
      </c>
      <c r="F1766" s="560">
        <v>3</v>
      </c>
      <c r="G1766" s="560" t="s">
        <v>286</v>
      </c>
      <c r="H1766" s="566">
        <v>3.7026647966339414</v>
      </c>
      <c r="I1766" s="567" t="s">
        <v>288</v>
      </c>
      <c r="J1766" s="568" t="s">
        <v>288</v>
      </c>
      <c r="L1766" s="373">
        <v>1</v>
      </c>
    </row>
    <row r="1767" spans="1:12">
      <c r="A1767" s="565">
        <v>1762</v>
      </c>
      <c r="B1767" s="560" t="s">
        <v>278</v>
      </c>
      <c r="C1767" s="560" t="s">
        <v>534</v>
      </c>
      <c r="D1767" s="560" t="s">
        <v>290</v>
      </c>
      <c r="E1767" s="560">
        <v>119</v>
      </c>
      <c r="F1767" s="560">
        <v>2</v>
      </c>
      <c r="G1767" s="560" t="s">
        <v>286</v>
      </c>
      <c r="H1767" s="566">
        <v>3.3380084151472653</v>
      </c>
      <c r="I1767" s="567" t="s">
        <v>288</v>
      </c>
      <c r="J1767" s="568" t="s">
        <v>288</v>
      </c>
      <c r="L1767" s="373">
        <v>1</v>
      </c>
    </row>
    <row r="1768" spans="1:12">
      <c r="A1768" s="565">
        <v>1763</v>
      </c>
      <c r="B1768" s="560" t="s">
        <v>278</v>
      </c>
      <c r="C1768" s="560" t="s">
        <v>534</v>
      </c>
      <c r="D1768" s="560" t="s">
        <v>291</v>
      </c>
      <c r="E1768" s="560">
        <v>148</v>
      </c>
      <c r="F1768" s="560">
        <v>3</v>
      </c>
      <c r="G1768" s="560" t="s">
        <v>286</v>
      </c>
      <c r="H1768" s="566">
        <v>4.1514726507713888</v>
      </c>
      <c r="I1768" s="567" t="s">
        <v>499</v>
      </c>
      <c r="J1768" s="568" t="s">
        <v>288</v>
      </c>
      <c r="L1768" s="373">
        <v>1</v>
      </c>
    </row>
    <row r="1769" spans="1:12">
      <c r="A1769" s="565">
        <v>1764</v>
      </c>
      <c r="B1769" s="560" t="s">
        <v>278</v>
      </c>
      <c r="C1769" s="560" t="s">
        <v>534</v>
      </c>
      <c r="D1769" s="560" t="s">
        <v>291</v>
      </c>
      <c r="E1769" s="560">
        <v>157</v>
      </c>
      <c r="F1769" s="560">
        <v>5</v>
      </c>
      <c r="G1769" s="560" t="s">
        <v>286</v>
      </c>
      <c r="H1769" s="566">
        <v>4.4039270687237027</v>
      </c>
      <c r="I1769" s="567" t="s">
        <v>288</v>
      </c>
      <c r="J1769" s="568" t="s">
        <v>288</v>
      </c>
      <c r="L1769" s="373">
        <v>1</v>
      </c>
    </row>
    <row r="1770" spans="1:12" ht="21">
      <c r="A1770" s="565">
        <v>1765</v>
      </c>
      <c r="B1770" s="560" t="s">
        <v>278</v>
      </c>
      <c r="C1770" s="560" t="s">
        <v>534</v>
      </c>
      <c r="D1770" s="560" t="s">
        <v>291</v>
      </c>
      <c r="E1770" s="560">
        <v>139</v>
      </c>
      <c r="F1770" s="560">
        <v>4</v>
      </c>
      <c r="G1770" s="560" t="s">
        <v>286</v>
      </c>
      <c r="H1770" s="566">
        <v>3.8990182328190746</v>
      </c>
      <c r="I1770" s="567" t="s">
        <v>489</v>
      </c>
      <c r="J1770" s="568" t="s">
        <v>288</v>
      </c>
      <c r="L1770" s="373">
        <v>1</v>
      </c>
    </row>
    <row r="1771" spans="1:12">
      <c r="A1771" s="565">
        <v>1766</v>
      </c>
      <c r="B1771" s="560" t="s">
        <v>278</v>
      </c>
      <c r="C1771" s="560" t="s">
        <v>534</v>
      </c>
      <c r="D1771" s="560" t="s">
        <v>291</v>
      </c>
      <c r="E1771" s="560">
        <v>140</v>
      </c>
      <c r="F1771" s="560">
        <v>3</v>
      </c>
      <c r="G1771" s="560" t="s">
        <v>286</v>
      </c>
      <c r="H1771" s="566">
        <v>3.9270687237026651</v>
      </c>
      <c r="I1771" s="567" t="s">
        <v>464</v>
      </c>
      <c r="J1771" s="568" t="s">
        <v>288</v>
      </c>
      <c r="L1771" s="373">
        <v>1</v>
      </c>
    </row>
    <row r="1772" spans="1:12">
      <c r="A1772" s="565">
        <v>1767</v>
      </c>
      <c r="B1772" s="560" t="s">
        <v>278</v>
      </c>
      <c r="C1772" s="560" t="s">
        <v>534</v>
      </c>
      <c r="D1772" s="560" t="s">
        <v>291</v>
      </c>
      <c r="E1772" s="560">
        <v>196</v>
      </c>
      <c r="F1772" s="560">
        <v>8</v>
      </c>
      <c r="G1772" s="560" t="s">
        <v>286</v>
      </c>
      <c r="H1772" s="566">
        <v>5.497896213183731</v>
      </c>
      <c r="I1772" s="567" t="s">
        <v>499</v>
      </c>
      <c r="J1772" s="568" t="s">
        <v>500</v>
      </c>
      <c r="L1772" s="373">
        <v>1</v>
      </c>
    </row>
    <row r="1773" spans="1:12">
      <c r="A1773" s="565">
        <v>1768</v>
      </c>
      <c r="B1773" s="560" t="s">
        <v>278</v>
      </c>
      <c r="C1773" s="560" t="s">
        <v>534</v>
      </c>
      <c r="D1773" s="560" t="s">
        <v>291</v>
      </c>
      <c r="E1773" s="560">
        <v>137</v>
      </c>
      <c r="F1773" s="560">
        <v>3</v>
      </c>
      <c r="G1773" s="560" t="str">
        <f>G1774</f>
        <v>prąd</v>
      </c>
      <c r="H1773" s="566">
        <v>27400</v>
      </c>
      <c r="I1773" s="567" t="s">
        <v>499</v>
      </c>
      <c r="J1773" s="568" t="s">
        <v>288</v>
      </c>
      <c r="L1773" s="373">
        <v>1</v>
      </c>
    </row>
    <row r="1774" spans="1:12">
      <c r="A1774" s="565">
        <v>1769</v>
      </c>
      <c r="B1774" s="560" t="s">
        <v>278</v>
      </c>
      <c r="C1774" s="560" t="s">
        <v>534</v>
      </c>
      <c r="D1774" s="560" t="s">
        <v>291</v>
      </c>
      <c r="E1774" s="560">
        <v>158</v>
      </c>
      <c r="F1774" s="560">
        <v>6</v>
      </c>
      <c r="G1774" s="560" t="str">
        <f>G1775</f>
        <v>prąd</v>
      </c>
      <c r="H1774" s="566">
        <v>31600</v>
      </c>
      <c r="I1774" s="567" t="s">
        <v>288</v>
      </c>
      <c r="J1774" s="568" t="s">
        <v>288</v>
      </c>
      <c r="L1774" s="373">
        <v>1</v>
      </c>
    </row>
    <row r="1775" spans="1:12">
      <c r="A1775" s="565">
        <v>1770</v>
      </c>
      <c r="B1775" s="560" t="s">
        <v>278</v>
      </c>
      <c r="C1775" s="560" t="s">
        <v>534</v>
      </c>
      <c r="D1775" s="560" t="s">
        <v>291</v>
      </c>
      <c r="E1775" s="560">
        <v>129</v>
      </c>
      <c r="F1775" s="560">
        <v>3</v>
      </c>
      <c r="G1775" s="560" t="s">
        <v>287</v>
      </c>
      <c r="H1775" s="566">
        <v>25800</v>
      </c>
      <c r="I1775" s="567" t="s">
        <v>464</v>
      </c>
      <c r="J1775" s="568" t="s">
        <v>288</v>
      </c>
      <c r="L1775" s="373">
        <v>1</v>
      </c>
    </row>
    <row r="1776" spans="1:12">
      <c r="A1776" s="565">
        <v>1771</v>
      </c>
      <c r="B1776" s="560" t="s">
        <v>278</v>
      </c>
      <c r="C1776" s="560" t="s">
        <v>534</v>
      </c>
      <c r="D1776" s="560" t="s">
        <v>292</v>
      </c>
      <c r="E1776" s="560">
        <v>122</v>
      </c>
      <c r="F1776" s="560">
        <v>3</v>
      </c>
      <c r="G1776" s="560" t="s">
        <v>286</v>
      </c>
      <c r="H1776" s="566">
        <v>3.4221598877980366</v>
      </c>
      <c r="I1776" s="567" t="s">
        <v>288</v>
      </c>
      <c r="J1776" s="568" t="s">
        <v>288</v>
      </c>
      <c r="L1776" s="373">
        <v>1</v>
      </c>
    </row>
    <row r="1777" spans="1:12">
      <c r="A1777" s="565">
        <v>1772</v>
      </c>
      <c r="B1777" s="560" t="s">
        <v>278</v>
      </c>
      <c r="C1777" s="560" t="s">
        <v>534</v>
      </c>
      <c r="D1777" s="560" t="s">
        <v>292</v>
      </c>
      <c r="E1777" s="560">
        <v>143</v>
      </c>
      <c r="F1777" s="560">
        <v>5</v>
      </c>
      <c r="G1777" s="560" t="s">
        <v>286</v>
      </c>
      <c r="H1777" s="566">
        <v>4.0112201963534364</v>
      </c>
      <c r="I1777" s="567" t="s">
        <v>288</v>
      </c>
      <c r="J1777" s="568" t="s">
        <v>288</v>
      </c>
      <c r="L1777" s="373">
        <v>1</v>
      </c>
    </row>
    <row r="1778" spans="1:12">
      <c r="A1778" s="565">
        <v>1773</v>
      </c>
      <c r="B1778" s="560" t="s">
        <v>278</v>
      </c>
      <c r="C1778" s="560" t="s">
        <v>534</v>
      </c>
      <c r="D1778" s="560" t="s">
        <v>291</v>
      </c>
      <c r="E1778" s="560">
        <v>183</v>
      </c>
      <c r="F1778" s="560">
        <v>7</v>
      </c>
      <c r="G1778" s="560" t="s">
        <v>286</v>
      </c>
      <c r="H1778" s="566">
        <v>5.1332398316970549</v>
      </c>
      <c r="I1778" s="567" t="s">
        <v>464</v>
      </c>
      <c r="J1778" s="568" t="s">
        <v>288</v>
      </c>
      <c r="L1778" s="373">
        <v>1</v>
      </c>
    </row>
    <row r="1779" spans="1:12" ht="21">
      <c r="A1779" s="565">
        <v>1774</v>
      </c>
      <c r="B1779" s="560" t="s">
        <v>278</v>
      </c>
      <c r="C1779" s="560" t="s">
        <v>534</v>
      </c>
      <c r="D1779" s="560" t="s">
        <v>291</v>
      </c>
      <c r="E1779" s="560">
        <v>127</v>
      </c>
      <c r="F1779" s="560">
        <v>4</v>
      </c>
      <c r="G1779" s="560" t="s">
        <v>286</v>
      </c>
      <c r="H1779" s="566">
        <v>3.562412342215989</v>
      </c>
      <c r="I1779" s="567" t="s">
        <v>464</v>
      </c>
      <c r="J1779" s="568" t="s">
        <v>506</v>
      </c>
      <c r="L1779" s="373">
        <v>1</v>
      </c>
    </row>
    <row r="1780" spans="1:12">
      <c r="A1780" s="565">
        <v>1775</v>
      </c>
      <c r="B1780" s="560" t="s">
        <v>278</v>
      </c>
      <c r="C1780" s="560" t="s">
        <v>534</v>
      </c>
      <c r="D1780" s="560" t="s">
        <v>291</v>
      </c>
      <c r="E1780" s="560">
        <v>152</v>
      </c>
      <c r="F1780" s="560">
        <v>5</v>
      </c>
      <c r="G1780" s="560" t="s">
        <v>286</v>
      </c>
      <c r="H1780" s="566">
        <v>4.2636746143057502</v>
      </c>
      <c r="I1780" s="567" t="s">
        <v>288</v>
      </c>
      <c r="J1780" s="568" t="s">
        <v>288</v>
      </c>
      <c r="L1780" s="373">
        <v>1</v>
      </c>
    </row>
    <row r="1781" spans="1:12">
      <c r="A1781" s="565">
        <v>1776</v>
      </c>
      <c r="B1781" s="560" t="s">
        <v>278</v>
      </c>
      <c r="C1781" s="560" t="s">
        <v>534</v>
      </c>
      <c r="D1781" s="560" t="s">
        <v>292</v>
      </c>
      <c r="E1781" s="560">
        <v>98</v>
      </c>
      <c r="F1781" s="560">
        <v>3</v>
      </c>
      <c r="G1781" s="560" t="s">
        <v>286</v>
      </c>
      <c r="H1781" s="566">
        <v>2.7489481065918655</v>
      </c>
      <c r="I1781" s="567" t="s">
        <v>288</v>
      </c>
      <c r="J1781" s="568" t="s">
        <v>288</v>
      </c>
      <c r="L1781" s="373">
        <v>1</v>
      </c>
    </row>
    <row r="1782" spans="1:12">
      <c r="A1782" s="565">
        <v>1777</v>
      </c>
      <c r="B1782" s="560" t="s">
        <v>278</v>
      </c>
      <c r="C1782" s="560" t="s">
        <v>534</v>
      </c>
      <c r="D1782" s="560" t="s">
        <v>292</v>
      </c>
      <c r="E1782" s="560">
        <v>112</v>
      </c>
      <c r="F1782" s="560">
        <v>2</v>
      </c>
      <c r="G1782" s="560" t="s">
        <v>286</v>
      </c>
      <c r="H1782" s="566">
        <v>3.1416549789621318</v>
      </c>
      <c r="I1782" s="567" t="s">
        <v>288</v>
      </c>
      <c r="J1782" s="568" t="s">
        <v>288</v>
      </c>
      <c r="L1782" s="373">
        <v>1</v>
      </c>
    </row>
    <row r="1783" spans="1:12">
      <c r="A1783" s="565">
        <v>1778</v>
      </c>
      <c r="B1783" s="560" t="s">
        <v>278</v>
      </c>
      <c r="C1783" s="560" t="s">
        <v>534</v>
      </c>
      <c r="D1783" s="560" t="s">
        <v>290</v>
      </c>
      <c r="E1783" s="560">
        <v>132</v>
      </c>
      <c r="F1783" s="560">
        <v>3</v>
      </c>
      <c r="G1783" s="560" t="s">
        <v>286</v>
      </c>
      <c r="H1783" s="566">
        <v>3.7026647966339414</v>
      </c>
      <c r="I1783" s="567" t="s">
        <v>288</v>
      </c>
      <c r="J1783" s="568" t="s">
        <v>288</v>
      </c>
      <c r="L1783" s="373">
        <v>1</v>
      </c>
    </row>
    <row r="1784" spans="1:12" ht="21">
      <c r="A1784" s="565">
        <v>1779</v>
      </c>
      <c r="B1784" s="560" t="s">
        <v>278</v>
      </c>
      <c r="C1784" s="560" t="s">
        <v>534</v>
      </c>
      <c r="D1784" s="560" t="s">
        <v>291</v>
      </c>
      <c r="E1784" s="560">
        <v>119</v>
      </c>
      <c r="F1784" s="560">
        <v>3</v>
      </c>
      <c r="G1784" s="560" t="s">
        <v>286</v>
      </c>
      <c r="H1784" s="566">
        <v>3.3380084151472653</v>
      </c>
      <c r="I1784" s="567" t="s">
        <v>489</v>
      </c>
      <c r="J1784" s="568" t="s">
        <v>288</v>
      </c>
      <c r="L1784" s="373">
        <v>1</v>
      </c>
    </row>
    <row r="1785" spans="1:12">
      <c r="A1785" s="565">
        <v>1780</v>
      </c>
      <c r="B1785" s="560" t="s">
        <v>278</v>
      </c>
      <c r="C1785" s="560" t="s">
        <v>534</v>
      </c>
      <c r="D1785" s="560" t="s">
        <v>532</v>
      </c>
      <c r="E1785" s="560">
        <v>106</v>
      </c>
      <c r="F1785" s="560">
        <v>3</v>
      </c>
      <c r="G1785" s="560" t="s">
        <v>286</v>
      </c>
      <c r="H1785" s="566">
        <v>2.9733520336605892</v>
      </c>
      <c r="I1785" s="567" t="s">
        <v>288</v>
      </c>
      <c r="J1785" s="568" t="s">
        <v>288</v>
      </c>
      <c r="L1785" s="373">
        <v>1</v>
      </c>
    </row>
    <row r="1786" spans="1:12" ht="21">
      <c r="A1786" s="565">
        <v>1781</v>
      </c>
      <c r="B1786" s="560" t="s">
        <v>278</v>
      </c>
      <c r="C1786" s="560" t="s">
        <v>534</v>
      </c>
      <c r="D1786" s="560" t="s">
        <v>507</v>
      </c>
      <c r="E1786" s="560">
        <v>93</v>
      </c>
      <c r="F1786" s="560">
        <v>3</v>
      </c>
      <c r="G1786" s="560" t="s">
        <v>286</v>
      </c>
      <c r="H1786" s="566">
        <v>2.6086956521739131</v>
      </c>
      <c r="I1786" s="567" t="s">
        <v>489</v>
      </c>
      <c r="J1786" s="568" t="s">
        <v>288</v>
      </c>
      <c r="L1786" s="373">
        <v>1</v>
      </c>
    </row>
    <row r="1787" spans="1:12">
      <c r="A1787" s="565">
        <v>1782</v>
      </c>
      <c r="B1787" s="560" t="s">
        <v>278</v>
      </c>
      <c r="C1787" s="560" t="s">
        <v>534</v>
      </c>
      <c r="D1787" s="560" t="s">
        <v>532</v>
      </c>
      <c r="E1787" s="560">
        <v>80</v>
      </c>
      <c r="F1787" s="560">
        <v>3</v>
      </c>
      <c r="G1787" s="560" t="s">
        <v>286</v>
      </c>
      <c r="H1787" s="566">
        <v>2.244039270687237</v>
      </c>
      <c r="I1787" s="567" t="s">
        <v>288</v>
      </c>
      <c r="J1787" s="568" t="s">
        <v>288</v>
      </c>
      <c r="L1787" s="373">
        <v>1</v>
      </c>
    </row>
    <row r="1788" spans="1:12" ht="21">
      <c r="A1788" s="565">
        <v>1783</v>
      </c>
      <c r="B1788" s="560" t="s">
        <v>278</v>
      </c>
      <c r="C1788" s="560" t="s">
        <v>534</v>
      </c>
      <c r="D1788" s="560" t="s">
        <v>507</v>
      </c>
      <c r="E1788" s="560">
        <v>67</v>
      </c>
      <c r="F1788" s="560">
        <v>3</v>
      </c>
      <c r="G1788" s="560" t="s">
        <v>286</v>
      </c>
      <c r="H1788" s="566">
        <v>1.8793828892005611</v>
      </c>
      <c r="I1788" s="567" t="s">
        <v>489</v>
      </c>
      <c r="J1788" s="568" t="s">
        <v>288</v>
      </c>
      <c r="L1788" s="373">
        <v>1</v>
      </c>
    </row>
    <row r="1789" spans="1:12">
      <c r="A1789" s="565">
        <v>1784</v>
      </c>
      <c r="B1789" s="560" t="s">
        <v>278</v>
      </c>
      <c r="C1789" s="560" t="s">
        <v>534</v>
      </c>
      <c r="D1789" s="560" t="s">
        <v>290</v>
      </c>
      <c r="E1789" s="560">
        <v>97</v>
      </c>
      <c r="F1789" s="560">
        <v>2</v>
      </c>
      <c r="G1789" s="560" t="s">
        <v>286</v>
      </c>
      <c r="H1789" s="566">
        <v>2.7208976157082749</v>
      </c>
      <c r="I1789" s="567" t="s">
        <v>288</v>
      </c>
      <c r="J1789" s="568" t="s">
        <v>288</v>
      </c>
      <c r="L1789" s="373">
        <v>1</v>
      </c>
    </row>
    <row r="1790" spans="1:12">
      <c r="A1790" s="565">
        <v>1785</v>
      </c>
      <c r="B1790" s="560" t="s">
        <v>278</v>
      </c>
      <c r="C1790" s="560" t="s">
        <v>534</v>
      </c>
      <c r="D1790" s="560" t="s">
        <v>291</v>
      </c>
      <c r="E1790" s="560">
        <v>111</v>
      </c>
      <c r="F1790" s="560">
        <v>4</v>
      </c>
      <c r="G1790" s="560" t="s">
        <v>286</v>
      </c>
      <c r="H1790" s="566">
        <v>3.1136044880785416</v>
      </c>
      <c r="I1790" s="567" t="s">
        <v>464</v>
      </c>
      <c r="J1790" s="568" t="s">
        <v>288</v>
      </c>
      <c r="L1790" s="373">
        <v>1</v>
      </c>
    </row>
    <row r="1791" spans="1:12" ht="21">
      <c r="A1791" s="565">
        <v>1786</v>
      </c>
      <c r="B1791" s="560" t="s">
        <v>278</v>
      </c>
      <c r="C1791" s="560" t="s">
        <v>534</v>
      </c>
      <c r="D1791" s="560" t="s">
        <v>292</v>
      </c>
      <c r="E1791" s="560">
        <v>147</v>
      </c>
      <c r="F1791" s="560">
        <v>3</v>
      </c>
      <c r="G1791" s="560" t="s">
        <v>286</v>
      </c>
      <c r="H1791" s="566">
        <v>4.1234221598877978</v>
      </c>
      <c r="I1791" s="567" t="s">
        <v>464</v>
      </c>
      <c r="J1791" s="568" t="s">
        <v>506</v>
      </c>
      <c r="L1791" s="373">
        <v>1</v>
      </c>
    </row>
    <row r="1792" spans="1:12">
      <c r="A1792" s="565">
        <v>1787</v>
      </c>
      <c r="B1792" s="560" t="s">
        <v>278</v>
      </c>
      <c r="C1792" s="560" t="s">
        <v>534</v>
      </c>
      <c r="D1792" s="560" t="s">
        <v>290</v>
      </c>
      <c r="E1792" s="560">
        <v>110</v>
      </c>
      <c r="F1792" s="560">
        <v>2</v>
      </c>
      <c r="G1792" s="560" t="s">
        <v>286</v>
      </c>
      <c r="H1792" s="566">
        <v>3.085553997194951</v>
      </c>
      <c r="I1792" s="567" t="s">
        <v>288</v>
      </c>
      <c r="J1792" s="568" t="s">
        <v>288</v>
      </c>
      <c r="L1792" s="373">
        <v>1</v>
      </c>
    </row>
    <row r="1793" spans="1:12">
      <c r="A1793" s="565">
        <v>1788</v>
      </c>
      <c r="B1793" s="560" t="s">
        <v>278</v>
      </c>
      <c r="C1793" s="560" t="s">
        <v>534</v>
      </c>
      <c r="D1793" s="560" t="s">
        <v>291</v>
      </c>
      <c r="E1793" s="560">
        <v>143</v>
      </c>
      <c r="F1793" s="560">
        <v>3</v>
      </c>
      <c r="G1793" s="560" t="s">
        <v>286</v>
      </c>
      <c r="H1793" s="566">
        <v>4.0112201963534364</v>
      </c>
      <c r="I1793" s="567" t="s">
        <v>499</v>
      </c>
      <c r="J1793" s="568" t="s">
        <v>288</v>
      </c>
      <c r="L1793" s="373">
        <v>1</v>
      </c>
    </row>
    <row r="1794" spans="1:12" ht="21">
      <c r="A1794" s="565">
        <v>1789</v>
      </c>
      <c r="B1794" s="560" t="s">
        <v>278</v>
      </c>
      <c r="C1794" s="560" t="s">
        <v>534</v>
      </c>
      <c r="D1794" s="560" t="s">
        <v>293</v>
      </c>
      <c r="E1794" s="560">
        <v>136</v>
      </c>
      <c r="F1794" s="560">
        <v>4</v>
      </c>
      <c r="G1794" s="560" t="s">
        <v>286</v>
      </c>
      <c r="H1794" s="566">
        <v>3.8148667601683033</v>
      </c>
      <c r="I1794" s="567" t="s">
        <v>489</v>
      </c>
      <c r="J1794" s="568" t="s">
        <v>474</v>
      </c>
      <c r="L1794" s="373">
        <v>1</v>
      </c>
    </row>
    <row r="1795" spans="1:12" ht="21">
      <c r="A1795" s="565">
        <v>1790</v>
      </c>
      <c r="B1795" s="560" t="s">
        <v>278</v>
      </c>
      <c r="C1795" s="560" t="s">
        <v>534</v>
      </c>
      <c r="D1795" s="560" t="s">
        <v>291</v>
      </c>
      <c r="E1795" s="560">
        <v>162</v>
      </c>
      <c r="F1795" s="560">
        <v>5</v>
      </c>
      <c r="G1795" s="560" t="s">
        <v>286</v>
      </c>
      <c r="H1795" s="566">
        <v>4.5441795231416551</v>
      </c>
      <c r="I1795" s="567" t="s">
        <v>489</v>
      </c>
      <c r="J1795" s="568" t="s">
        <v>288</v>
      </c>
      <c r="L1795" s="373">
        <v>1</v>
      </c>
    </row>
    <row r="1796" spans="1:12">
      <c r="A1796" s="565">
        <v>1791</v>
      </c>
      <c r="B1796" s="560" t="s">
        <v>278</v>
      </c>
      <c r="C1796" s="560" t="s">
        <v>534</v>
      </c>
      <c r="D1796" s="560" t="s">
        <v>292</v>
      </c>
      <c r="E1796" s="560">
        <v>112</v>
      </c>
      <c r="F1796" s="560">
        <v>2</v>
      </c>
      <c r="G1796" s="560" t="s">
        <v>286</v>
      </c>
      <c r="H1796" s="566">
        <v>3.1416549789621318</v>
      </c>
      <c r="I1796" s="567" t="s">
        <v>288</v>
      </c>
      <c r="J1796" s="568" t="s">
        <v>288</v>
      </c>
      <c r="L1796" s="373">
        <v>1</v>
      </c>
    </row>
    <row r="1797" spans="1:12">
      <c r="A1797" s="565">
        <v>1792</v>
      </c>
      <c r="B1797" s="560" t="s">
        <v>278</v>
      </c>
      <c r="C1797" s="560" t="s">
        <v>515</v>
      </c>
      <c r="D1797" s="560" t="s">
        <v>291</v>
      </c>
      <c r="E1797" s="560">
        <v>143</v>
      </c>
      <c r="F1797" s="560">
        <v>3</v>
      </c>
      <c r="G1797" s="560" t="s">
        <v>286</v>
      </c>
      <c r="H1797" s="566">
        <v>4.0112201963534364</v>
      </c>
      <c r="I1797" s="567" t="s">
        <v>464</v>
      </c>
      <c r="J1797" s="568" t="s">
        <v>288</v>
      </c>
      <c r="L1797" s="373">
        <v>1</v>
      </c>
    </row>
    <row r="1798" spans="1:12">
      <c r="A1798" s="565">
        <v>1793</v>
      </c>
      <c r="B1798" s="560" t="s">
        <v>278</v>
      </c>
      <c r="C1798" s="560" t="s">
        <v>515</v>
      </c>
      <c r="D1798" s="560" t="s">
        <v>291</v>
      </c>
      <c r="E1798" s="560">
        <v>158</v>
      </c>
      <c r="F1798" s="560">
        <v>5</v>
      </c>
      <c r="G1798" s="560" t="s">
        <v>286</v>
      </c>
      <c r="H1798" s="566">
        <v>4.4319775596072937</v>
      </c>
      <c r="I1798" s="567" t="s">
        <v>499</v>
      </c>
      <c r="J1798" s="568" t="s">
        <v>288</v>
      </c>
      <c r="L1798" s="373">
        <v>1</v>
      </c>
    </row>
    <row r="1799" spans="1:12">
      <c r="A1799" s="565">
        <v>1794</v>
      </c>
      <c r="B1799" s="560" t="s">
        <v>278</v>
      </c>
      <c r="C1799" s="560" t="s">
        <v>515</v>
      </c>
      <c r="D1799" s="560" t="s">
        <v>292</v>
      </c>
      <c r="E1799" s="560">
        <v>115</v>
      </c>
      <c r="F1799" s="560">
        <v>3</v>
      </c>
      <c r="G1799" s="560" t="s">
        <v>286</v>
      </c>
      <c r="H1799" s="566">
        <v>3.2258064516129035</v>
      </c>
      <c r="I1799" s="567" t="s">
        <v>464</v>
      </c>
      <c r="J1799" s="568" t="s">
        <v>288</v>
      </c>
      <c r="L1799" s="373">
        <v>1</v>
      </c>
    </row>
    <row r="1800" spans="1:12">
      <c r="A1800" s="565">
        <v>1795</v>
      </c>
      <c r="B1800" s="560" t="s">
        <v>278</v>
      </c>
      <c r="C1800" s="560" t="s">
        <v>515</v>
      </c>
      <c r="D1800" s="560" t="s">
        <v>291</v>
      </c>
      <c r="E1800" s="560">
        <v>133</v>
      </c>
      <c r="F1800" s="560">
        <v>3</v>
      </c>
      <c r="G1800" s="560" t="str">
        <f>G1801</f>
        <v>prąd</v>
      </c>
      <c r="H1800" s="566">
        <v>26600</v>
      </c>
      <c r="I1800" s="567" t="s">
        <v>288</v>
      </c>
      <c r="J1800" s="568" t="s">
        <v>288</v>
      </c>
      <c r="L1800" s="373">
        <v>1</v>
      </c>
    </row>
    <row r="1801" spans="1:12">
      <c r="A1801" s="565">
        <v>1796</v>
      </c>
      <c r="B1801" s="560" t="s">
        <v>278</v>
      </c>
      <c r="C1801" s="560" t="s">
        <v>515</v>
      </c>
      <c r="D1801" s="560" t="s">
        <v>291</v>
      </c>
      <c r="E1801" s="560">
        <v>142</v>
      </c>
      <c r="F1801" s="560">
        <v>4</v>
      </c>
      <c r="G1801" s="560" t="str">
        <f>G1802</f>
        <v>prąd</v>
      </c>
      <c r="H1801" s="566">
        <v>28400</v>
      </c>
      <c r="I1801" s="567" t="s">
        <v>464</v>
      </c>
      <c r="J1801" s="568" t="s">
        <v>288</v>
      </c>
      <c r="L1801" s="373">
        <v>1</v>
      </c>
    </row>
    <row r="1802" spans="1:12">
      <c r="A1802" s="565">
        <v>1797</v>
      </c>
      <c r="B1802" s="560" t="s">
        <v>278</v>
      </c>
      <c r="C1802" s="560" t="s">
        <v>515</v>
      </c>
      <c r="D1802" s="560" t="s">
        <v>292</v>
      </c>
      <c r="E1802" s="560">
        <v>156</v>
      </c>
      <c r="F1802" s="560">
        <v>5</v>
      </c>
      <c r="G1802" s="560" t="s">
        <v>287</v>
      </c>
      <c r="H1802" s="566">
        <v>31200</v>
      </c>
      <c r="I1802" s="567" t="s">
        <v>288</v>
      </c>
      <c r="J1802" s="568" t="s">
        <v>288</v>
      </c>
      <c r="L1802" s="373">
        <v>1</v>
      </c>
    </row>
    <row r="1803" spans="1:12" ht="21">
      <c r="A1803" s="565">
        <v>1798</v>
      </c>
      <c r="B1803" s="560" t="s">
        <v>278</v>
      </c>
      <c r="C1803" s="560" t="s">
        <v>515</v>
      </c>
      <c r="D1803" s="560" t="s">
        <v>291</v>
      </c>
      <c r="E1803" s="560">
        <v>168</v>
      </c>
      <c r="F1803" s="560">
        <v>7</v>
      </c>
      <c r="G1803" s="560" t="s">
        <v>286</v>
      </c>
      <c r="H1803" s="566">
        <v>4.7124824684431976</v>
      </c>
      <c r="I1803" s="567" t="s">
        <v>464</v>
      </c>
      <c r="J1803" s="568" t="s">
        <v>506</v>
      </c>
      <c r="L1803" s="373">
        <v>1</v>
      </c>
    </row>
    <row r="1804" spans="1:12">
      <c r="A1804" s="565">
        <v>1799</v>
      </c>
      <c r="B1804" s="560" t="s">
        <v>278</v>
      </c>
      <c r="C1804" s="560" t="s">
        <v>515</v>
      </c>
      <c r="D1804" s="560" t="s">
        <v>292</v>
      </c>
      <c r="E1804" s="560">
        <v>157</v>
      </c>
      <c r="F1804" s="560">
        <v>6</v>
      </c>
      <c r="G1804" s="560" t="s">
        <v>286</v>
      </c>
      <c r="H1804" s="566">
        <v>4.4039270687237027</v>
      </c>
      <c r="I1804" s="567" t="s">
        <v>464</v>
      </c>
      <c r="J1804" s="568" t="s">
        <v>288</v>
      </c>
      <c r="L1804" s="373">
        <v>1</v>
      </c>
    </row>
    <row r="1805" spans="1:12">
      <c r="A1805" s="565">
        <v>1800</v>
      </c>
      <c r="B1805" s="560" t="s">
        <v>278</v>
      </c>
      <c r="C1805" s="560" t="s">
        <v>515</v>
      </c>
      <c r="D1805" s="560" t="s">
        <v>291</v>
      </c>
      <c r="E1805" s="560">
        <v>152</v>
      </c>
      <c r="F1805" s="560">
        <v>5</v>
      </c>
      <c r="G1805" s="560" t="s">
        <v>286</v>
      </c>
      <c r="H1805" s="566">
        <v>4.2636746143057502</v>
      </c>
      <c r="I1805" s="567" t="s">
        <v>499</v>
      </c>
      <c r="J1805" s="568" t="s">
        <v>288</v>
      </c>
      <c r="L1805" s="373">
        <v>1</v>
      </c>
    </row>
    <row r="1806" spans="1:12">
      <c r="A1806" s="565">
        <v>1801</v>
      </c>
      <c r="B1806" s="560" t="s">
        <v>278</v>
      </c>
      <c r="C1806" s="560" t="s">
        <v>515</v>
      </c>
      <c r="D1806" s="560" t="s">
        <v>292</v>
      </c>
      <c r="E1806" s="560">
        <v>141</v>
      </c>
      <c r="F1806" s="560">
        <v>4</v>
      </c>
      <c r="G1806" s="560" t="s">
        <v>286</v>
      </c>
      <c r="H1806" s="566">
        <v>3.9551192145862553</v>
      </c>
      <c r="I1806" s="567" t="s">
        <v>464</v>
      </c>
      <c r="J1806" s="568" t="s">
        <v>288</v>
      </c>
      <c r="L1806" s="373">
        <v>1</v>
      </c>
    </row>
    <row r="1807" spans="1:12">
      <c r="A1807" s="565">
        <v>1802</v>
      </c>
      <c r="B1807" s="560" t="s">
        <v>278</v>
      </c>
      <c r="C1807" s="560" t="s">
        <v>515</v>
      </c>
      <c r="D1807" s="560" t="s">
        <v>292</v>
      </c>
      <c r="E1807" s="560">
        <v>138</v>
      </c>
      <c r="F1807" s="560">
        <v>3</v>
      </c>
      <c r="G1807" s="560" t="s">
        <v>286</v>
      </c>
      <c r="H1807" s="566">
        <v>3.870967741935484</v>
      </c>
      <c r="I1807" s="567" t="s">
        <v>464</v>
      </c>
      <c r="J1807" s="568" t="s">
        <v>288</v>
      </c>
      <c r="L1807" s="373">
        <v>1</v>
      </c>
    </row>
    <row r="1808" spans="1:12">
      <c r="A1808" s="565">
        <v>1803</v>
      </c>
      <c r="B1808" s="560" t="s">
        <v>278</v>
      </c>
      <c r="C1808" s="560" t="s">
        <v>515</v>
      </c>
      <c r="D1808" s="560" t="s">
        <v>292</v>
      </c>
      <c r="E1808" s="560">
        <v>147</v>
      </c>
      <c r="F1808" s="560">
        <v>5</v>
      </c>
      <c r="G1808" s="560" t="s">
        <v>286</v>
      </c>
      <c r="H1808" s="566">
        <v>4.1234221598877978</v>
      </c>
      <c r="I1808" s="567" t="s">
        <v>288</v>
      </c>
      <c r="J1808" s="568" t="s">
        <v>288</v>
      </c>
      <c r="L1808" s="373">
        <v>1</v>
      </c>
    </row>
    <row r="1809" spans="1:12">
      <c r="A1809" s="565">
        <v>1804</v>
      </c>
      <c r="B1809" s="560" t="s">
        <v>278</v>
      </c>
      <c r="C1809" s="560" t="s">
        <v>515</v>
      </c>
      <c r="D1809" s="560" t="s">
        <v>291</v>
      </c>
      <c r="E1809" s="560">
        <v>110</v>
      </c>
      <c r="F1809" s="560">
        <v>2</v>
      </c>
      <c r="G1809" s="560" t="s">
        <v>286</v>
      </c>
      <c r="H1809" s="566">
        <v>3.085553997194951</v>
      </c>
      <c r="I1809" s="567" t="s">
        <v>464</v>
      </c>
      <c r="J1809" s="568" t="s">
        <v>288</v>
      </c>
      <c r="L1809" s="373">
        <v>1</v>
      </c>
    </row>
    <row r="1810" spans="1:12">
      <c r="A1810" s="565">
        <v>1805</v>
      </c>
      <c r="B1810" s="560" t="s">
        <v>278</v>
      </c>
      <c r="C1810" s="560" t="s">
        <v>516</v>
      </c>
      <c r="D1810" s="560" t="s">
        <v>291</v>
      </c>
      <c r="E1810" s="560">
        <v>196</v>
      </c>
      <c r="F1810" s="560">
        <v>8</v>
      </c>
      <c r="G1810" s="560" t="s">
        <v>286</v>
      </c>
      <c r="H1810" s="566">
        <v>5.497896213183731</v>
      </c>
      <c r="I1810" s="567" t="s">
        <v>499</v>
      </c>
      <c r="J1810" s="568" t="s">
        <v>500</v>
      </c>
      <c r="L1810" s="373">
        <v>1</v>
      </c>
    </row>
    <row r="1811" spans="1:12">
      <c r="A1811" s="565">
        <v>1806</v>
      </c>
      <c r="B1811" s="560" t="s">
        <v>278</v>
      </c>
      <c r="C1811" s="560" t="s">
        <v>516</v>
      </c>
      <c r="D1811" s="560" t="s">
        <v>291</v>
      </c>
      <c r="E1811" s="560">
        <v>137</v>
      </c>
      <c r="F1811" s="560">
        <v>3</v>
      </c>
      <c r="G1811" s="560" t="s">
        <v>286</v>
      </c>
      <c r="H1811" s="566">
        <v>3.8429172510518934</v>
      </c>
      <c r="I1811" s="567" t="s">
        <v>499</v>
      </c>
      <c r="J1811" s="568" t="s">
        <v>288</v>
      </c>
      <c r="L1811" s="373">
        <v>1</v>
      </c>
    </row>
    <row r="1812" spans="1:12">
      <c r="A1812" s="565">
        <v>1807</v>
      </c>
      <c r="B1812" s="560" t="s">
        <v>278</v>
      </c>
      <c r="C1812" s="560" t="s">
        <v>516</v>
      </c>
      <c r="D1812" s="560" t="s">
        <v>291</v>
      </c>
      <c r="E1812" s="560">
        <v>158</v>
      </c>
      <c r="F1812" s="560">
        <v>6</v>
      </c>
      <c r="G1812" s="560" t="s">
        <v>286</v>
      </c>
      <c r="H1812" s="566">
        <v>4.4319775596072937</v>
      </c>
      <c r="I1812" s="567" t="s">
        <v>288</v>
      </c>
      <c r="J1812" s="568" t="s">
        <v>288</v>
      </c>
      <c r="L1812" s="373">
        <v>1</v>
      </c>
    </row>
    <row r="1813" spans="1:12">
      <c r="A1813" s="565">
        <v>1808</v>
      </c>
      <c r="B1813" s="560" t="s">
        <v>278</v>
      </c>
      <c r="C1813" s="560" t="s">
        <v>516</v>
      </c>
      <c r="D1813" s="560" t="s">
        <v>291</v>
      </c>
      <c r="E1813" s="560">
        <v>129</v>
      </c>
      <c r="F1813" s="560">
        <v>3</v>
      </c>
      <c r="G1813" s="560" t="s">
        <v>286</v>
      </c>
      <c r="H1813" s="566">
        <v>3.6185133239831697</v>
      </c>
      <c r="I1813" s="567" t="s">
        <v>464</v>
      </c>
      <c r="J1813" s="568" t="s">
        <v>288</v>
      </c>
      <c r="L1813" s="373">
        <v>1</v>
      </c>
    </row>
    <row r="1814" spans="1:12">
      <c r="A1814" s="565">
        <v>1809</v>
      </c>
      <c r="B1814" s="560" t="s">
        <v>278</v>
      </c>
      <c r="C1814" s="560" t="s">
        <v>516</v>
      </c>
      <c r="D1814" s="560" t="s">
        <v>292</v>
      </c>
      <c r="E1814" s="560">
        <v>122</v>
      </c>
      <c r="F1814" s="560">
        <v>3</v>
      </c>
      <c r="G1814" s="560" t="s">
        <v>286</v>
      </c>
      <c r="H1814" s="566">
        <v>3.4221598877980366</v>
      </c>
      <c r="I1814" s="567" t="s">
        <v>288</v>
      </c>
      <c r="J1814" s="568" t="s">
        <v>288</v>
      </c>
      <c r="L1814" s="373">
        <v>1</v>
      </c>
    </row>
    <row r="1815" spans="1:12">
      <c r="A1815" s="565">
        <v>1810</v>
      </c>
      <c r="B1815" s="560" t="s">
        <v>278</v>
      </c>
      <c r="C1815" s="560" t="s">
        <v>516</v>
      </c>
      <c r="D1815" s="560" t="s">
        <v>292</v>
      </c>
      <c r="E1815" s="560">
        <v>143</v>
      </c>
      <c r="F1815" s="560">
        <v>5</v>
      </c>
      <c r="G1815" s="560" t="s">
        <v>286</v>
      </c>
      <c r="H1815" s="566">
        <v>4.0112201963534364</v>
      </c>
      <c r="I1815" s="567" t="s">
        <v>288</v>
      </c>
      <c r="J1815" s="568" t="s">
        <v>288</v>
      </c>
      <c r="L1815" s="373">
        <v>1</v>
      </c>
    </row>
    <row r="1816" spans="1:12">
      <c r="A1816" s="565">
        <v>1811</v>
      </c>
      <c r="B1816" s="560" t="s">
        <v>278</v>
      </c>
      <c r="C1816" s="560" t="s">
        <v>516</v>
      </c>
      <c r="D1816" s="560" t="s">
        <v>291</v>
      </c>
      <c r="E1816" s="560">
        <v>183</v>
      </c>
      <c r="F1816" s="560">
        <v>7</v>
      </c>
      <c r="G1816" s="560" t="s">
        <v>286</v>
      </c>
      <c r="H1816" s="566">
        <v>5.1332398316970549</v>
      </c>
      <c r="I1816" s="567" t="s">
        <v>464</v>
      </c>
      <c r="J1816" s="568" t="s">
        <v>288</v>
      </c>
      <c r="L1816" s="373">
        <v>1</v>
      </c>
    </row>
    <row r="1817" spans="1:12" ht="21">
      <c r="A1817" s="565">
        <v>1812</v>
      </c>
      <c r="B1817" s="560" t="s">
        <v>278</v>
      </c>
      <c r="C1817" s="560" t="s">
        <v>516</v>
      </c>
      <c r="D1817" s="560" t="s">
        <v>291</v>
      </c>
      <c r="E1817" s="560">
        <v>127</v>
      </c>
      <c r="F1817" s="560">
        <v>4</v>
      </c>
      <c r="G1817" s="560" t="s">
        <v>286</v>
      </c>
      <c r="H1817" s="566">
        <v>3.562412342215989</v>
      </c>
      <c r="I1817" s="567" t="s">
        <v>464</v>
      </c>
      <c r="J1817" s="568" t="s">
        <v>506</v>
      </c>
      <c r="L1817" s="373">
        <v>1</v>
      </c>
    </row>
    <row r="1818" spans="1:12">
      <c r="A1818" s="565">
        <v>1813</v>
      </c>
      <c r="B1818" s="560" t="s">
        <v>278</v>
      </c>
      <c r="C1818" s="560" t="s">
        <v>516</v>
      </c>
      <c r="D1818" s="560" t="s">
        <v>291</v>
      </c>
      <c r="E1818" s="560">
        <v>152</v>
      </c>
      <c r="F1818" s="560">
        <v>5</v>
      </c>
      <c r="G1818" s="560" t="s">
        <v>286</v>
      </c>
      <c r="H1818" s="566">
        <v>4.2636746143057502</v>
      </c>
      <c r="I1818" s="567" t="s">
        <v>288</v>
      </c>
      <c r="J1818" s="568" t="s">
        <v>288</v>
      </c>
      <c r="L1818" s="373">
        <v>1</v>
      </c>
    </row>
    <row r="1819" spans="1:12">
      <c r="A1819" s="565">
        <v>1814</v>
      </c>
      <c r="B1819" s="560" t="s">
        <v>278</v>
      </c>
      <c r="C1819" s="560" t="s">
        <v>516</v>
      </c>
      <c r="D1819" s="560" t="s">
        <v>292</v>
      </c>
      <c r="E1819" s="560">
        <v>98</v>
      </c>
      <c r="F1819" s="560">
        <v>3</v>
      </c>
      <c r="G1819" s="560" t="s">
        <v>286</v>
      </c>
      <c r="H1819" s="566">
        <v>2.7489481065918655</v>
      </c>
      <c r="I1819" s="567" t="s">
        <v>288</v>
      </c>
      <c r="J1819" s="568" t="s">
        <v>288</v>
      </c>
      <c r="L1819" s="373">
        <v>1</v>
      </c>
    </row>
    <row r="1820" spans="1:12">
      <c r="A1820" s="565">
        <v>1815</v>
      </c>
      <c r="B1820" s="560" t="s">
        <v>278</v>
      </c>
      <c r="C1820" s="560" t="s">
        <v>516</v>
      </c>
      <c r="D1820" s="560" t="s">
        <v>292</v>
      </c>
      <c r="E1820" s="560">
        <v>112</v>
      </c>
      <c r="F1820" s="560">
        <v>2</v>
      </c>
      <c r="G1820" s="560" t="s">
        <v>286</v>
      </c>
      <c r="H1820" s="566">
        <v>3.1416549789621318</v>
      </c>
      <c r="I1820" s="567" t="s">
        <v>288</v>
      </c>
      <c r="J1820" s="568" t="s">
        <v>288</v>
      </c>
      <c r="L1820" s="373">
        <v>1</v>
      </c>
    </row>
    <row r="1821" spans="1:12">
      <c r="A1821" s="565">
        <v>1816</v>
      </c>
      <c r="B1821" s="560" t="s">
        <v>278</v>
      </c>
      <c r="C1821" s="560" t="s">
        <v>531</v>
      </c>
      <c r="D1821" s="560" t="s">
        <v>290</v>
      </c>
      <c r="E1821" s="560">
        <v>132</v>
      </c>
      <c r="F1821" s="560">
        <v>3</v>
      </c>
      <c r="G1821" s="560" t="s">
        <v>286</v>
      </c>
      <c r="H1821" s="566">
        <v>3.7026647966339414</v>
      </c>
      <c r="I1821" s="567" t="s">
        <v>288</v>
      </c>
      <c r="J1821" s="568" t="s">
        <v>288</v>
      </c>
      <c r="L1821" s="373">
        <v>1</v>
      </c>
    </row>
    <row r="1822" spans="1:12" ht="21">
      <c r="A1822" s="565">
        <v>1817</v>
      </c>
      <c r="B1822" s="560" t="s">
        <v>278</v>
      </c>
      <c r="C1822" s="560" t="s">
        <v>531</v>
      </c>
      <c r="D1822" s="560" t="s">
        <v>291</v>
      </c>
      <c r="E1822" s="560">
        <v>119</v>
      </c>
      <c r="F1822" s="560">
        <v>3</v>
      </c>
      <c r="G1822" s="560" t="s">
        <v>286</v>
      </c>
      <c r="H1822" s="566">
        <v>3.3380084151472653</v>
      </c>
      <c r="I1822" s="567" t="s">
        <v>489</v>
      </c>
      <c r="J1822" s="568" t="s">
        <v>288</v>
      </c>
      <c r="L1822" s="373">
        <v>1</v>
      </c>
    </row>
    <row r="1823" spans="1:12">
      <c r="A1823" s="565">
        <v>1818</v>
      </c>
      <c r="B1823" s="560" t="s">
        <v>278</v>
      </c>
      <c r="C1823" s="560" t="s">
        <v>531</v>
      </c>
      <c r="D1823" s="560" t="s">
        <v>532</v>
      </c>
      <c r="E1823" s="560">
        <v>106</v>
      </c>
      <c r="F1823" s="560">
        <v>3</v>
      </c>
      <c r="G1823" s="560" t="s">
        <v>286</v>
      </c>
      <c r="H1823" s="566">
        <v>2.9733520336605892</v>
      </c>
      <c r="I1823" s="567" t="s">
        <v>288</v>
      </c>
      <c r="J1823" s="568" t="s">
        <v>288</v>
      </c>
      <c r="L1823" s="373">
        <v>1</v>
      </c>
    </row>
    <row r="1824" spans="1:12" ht="21">
      <c r="A1824" s="565">
        <v>1819</v>
      </c>
      <c r="B1824" s="560" t="s">
        <v>278</v>
      </c>
      <c r="C1824" s="560" t="s">
        <v>531</v>
      </c>
      <c r="D1824" s="560" t="s">
        <v>507</v>
      </c>
      <c r="E1824" s="560">
        <v>93</v>
      </c>
      <c r="F1824" s="560">
        <v>3</v>
      </c>
      <c r="G1824" s="560" t="s">
        <v>286</v>
      </c>
      <c r="H1824" s="566">
        <v>2.6086956521739131</v>
      </c>
      <c r="I1824" s="567" t="s">
        <v>489</v>
      </c>
      <c r="J1824" s="568" t="s">
        <v>288</v>
      </c>
      <c r="L1824" s="373">
        <v>1</v>
      </c>
    </row>
    <row r="1825" spans="1:12">
      <c r="A1825" s="565">
        <v>1820</v>
      </c>
      <c r="B1825" s="560" t="s">
        <v>278</v>
      </c>
      <c r="C1825" s="560" t="s">
        <v>531</v>
      </c>
      <c r="D1825" s="560" t="s">
        <v>532</v>
      </c>
      <c r="E1825" s="560">
        <v>80</v>
      </c>
      <c r="F1825" s="560">
        <v>3</v>
      </c>
      <c r="G1825" s="560" t="s">
        <v>286</v>
      </c>
      <c r="H1825" s="566">
        <v>2.244039270687237</v>
      </c>
      <c r="I1825" s="567" t="s">
        <v>288</v>
      </c>
      <c r="J1825" s="568" t="s">
        <v>288</v>
      </c>
      <c r="L1825" s="373">
        <v>1</v>
      </c>
    </row>
    <row r="1826" spans="1:12" ht="21">
      <c r="A1826" s="565">
        <v>1821</v>
      </c>
      <c r="B1826" s="560" t="s">
        <v>278</v>
      </c>
      <c r="C1826" s="560" t="s">
        <v>531</v>
      </c>
      <c r="D1826" s="560" t="s">
        <v>507</v>
      </c>
      <c r="E1826" s="560">
        <v>67</v>
      </c>
      <c r="F1826" s="560">
        <v>3</v>
      </c>
      <c r="G1826" s="560" t="s">
        <v>286</v>
      </c>
      <c r="H1826" s="566">
        <v>1.8793828892005611</v>
      </c>
      <c r="I1826" s="567" t="s">
        <v>489</v>
      </c>
      <c r="J1826" s="568" t="s">
        <v>288</v>
      </c>
      <c r="L1826" s="373">
        <v>1</v>
      </c>
    </row>
    <row r="1827" spans="1:12">
      <c r="A1827" s="565">
        <v>1822</v>
      </c>
      <c r="B1827" s="560" t="s">
        <v>278</v>
      </c>
      <c r="C1827" s="560" t="s">
        <v>518</v>
      </c>
      <c r="D1827" s="560" t="s">
        <v>290</v>
      </c>
      <c r="E1827" s="560">
        <v>97</v>
      </c>
      <c r="F1827" s="560">
        <v>2</v>
      </c>
      <c r="G1827" s="560" t="s">
        <v>286</v>
      </c>
      <c r="H1827" s="566">
        <v>2.7208976157082749</v>
      </c>
      <c r="I1827" s="567" t="s">
        <v>288</v>
      </c>
      <c r="J1827" s="568" t="s">
        <v>288</v>
      </c>
      <c r="L1827" s="373">
        <v>1</v>
      </c>
    </row>
    <row r="1828" spans="1:12">
      <c r="A1828" s="565">
        <v>1823</v>
      </c>
      <c r="B1828" s="560" t="s">
        <v>278</v>
      </c>
      <c r="C1828" s="560" t="s">
        <v>518</v>
      </c>
      <c r="D1828" s="560" t="s">
        <v>291</v>
      </c>
      <c r="E1828" s="560">
        <v>111</v>
      </c>
      <c r="F1828" s="560">
        <v>4</v>
      </c>
      <c r="G1828" s="560" t="s">
        <v>286</v>
      </c>
      <c r="H1828" s="566">
        <v>3.1136044880785416</v>
      </c>
      <c r="I1828" s="567" t="s">
        <v>464</v>
      </c>
      <c r="J1828" s="568" t="s">
        <v>288</v>
      </c>
      <c r="L1828" s="373">
        <v>1</v>
      </c>
    </row>
    <row r="1829" spans="1:12" ht="21">
      <c r="A1829" s="565">
        <v>1824</v>
      </c>
      <c r="B1829" s="560" t="s">
        <v>278</v>
      </c>
      <c r="C1829" s="560" t="s">
        <v>518</v>
      </c>
      <c r="D1829" s="560" t="s">
        <v>292</v>
      </c>
      <c r="E1829" s="560">
        <v>147</v>
      </c>
      <c r="F1829" s="560">
        <v>3</v>
      </c>
      <c r="G1829" s="560" t="s">
        <v>286</v>
      </c>
      <c r="H1829" s="566">
        <v>4.1234221598877978</v>
      </c>
      <c r="I1829" s="567" t="s">
        <v>464</v>
      </c>
      <c r="J1829" s="568" t="s">
        <v>506</v>
      </c>
      <c r="L1829" s="373">
        <v>1</v>
      </c>
    </row>
    <row r="1830" spans="1:12">
      <c r="A1830" s="565">
        <v>1825</v>
      </c>
      <c r="B1830" s="560" t="s">
        <v>278</v>
      </c>
      <c r="C1830" s="560" t="s">
        <v>518</v>
      </c>
      <c r="D1830" s="560" t="s">
        <v>290</v>
      </c>
      <c r="E1830" s="560">
        <v>110</v>
      </c>
      <c r="F1830" s="560">
        <v>2</v>
      </c>
      <c r="G1830" s="560" t="s">
        <v>286</v>
      </c>
      <c r="H1830" s="566">
        <v>3.085553997194951</v>
      </c>
      <c r="I1830" s="567" t="s">
        <v>288</v>
      </c>
      <c r="J1830" s="568" t="s">
        <v>288</v>
      </c>
      <c r="L1830" s="373">
        <v>1</v>
      </c>
    </row>
    <row r="1831" spans="1:12">
      <c r="A1831" s="565">
        <v>1826</v>
      </c>
      <c r="B1831" s="560" t="s">
        <v>278</v>
      </c>
      <c r="C1831" s="560" t="s">
        <v>518</v>
      </c>
      <c r="D1831" s="560" t="s">
        <v>291</v>
      </c>
      <c r="E1831" s="560">
        <v>143</v>
      </c>
      <c r="F1831" s="560">
        <v>3</v>
      </c>
      <c r="G1831" s="560" t="s">
        <v>286</v>
      </c>
      <c r="H1831" s="566">
        <v>4.0112201963534364</v>
      </c>
      <c r="I1831" s="567" t="s">
        <v>499</v>
      </c>
      <c r="J1831" s="568" t="s">
        <v>288</v>
      </c>
      <c r="L1831" s="373">
        <v>1</v>
      </c>
    </row>
    <row r="1832" spans="1:12" ht="21">
      <c r="A1832" s="565">
        <v>1827</v>
      </c>
      <c r="B1832" s="560" t="s">
        <v>278</v>
      </c>
      <c r="C1832" s="560" t="s">
        <v>518</v>
      </c>
      <c r="D1832" s="560" t="s">
        <v>293</v>
      </c>
      <c r="E1832" s="560">
        <v>136</v>
      </c>
      <c r="F1832" s="560">
        <v>4</v>
      </c>
      <c r="G1832" s="560" t="s">
        <v>286</v>
      </c>
      <c r="H1832" s="566">
        <v>3.8148667601683033</v>
      </c>
      <c r="I1832" s="567" t="s">
        <v>489</v>
      </c>
      <c r="J1832" s="568" t="s">
        <v>474</v>
      </c>
      <c r="L1832" s="373">
        <v>1</v>
      </c>
    </row>
    <row r="1833" spans="1:12" ht="21">
      <c r="A1833" s="565">
        <v>1828</v>
      </c>
      <c r="B1833" s="560" t="s">
        <v>278</v>
      </c>
      <c r="C1833" s="560" t="s">
        <v>518</v>
      </c>
      <c r="D1833" s="560" t="s">
        <v>291</v>
      </c>
      <c r="E1833" s="560">
        <v>162</v>
      </c>
      <c r="F1833" s="560">
        <v>5</v>
      </c>
      <c r="G1833" s="560" t="s">
        <v>286</v>
      </c>
      <c r="H1833" s="566">
        <v>4.5441795231416551</v>
      </c>
      <c r="I1833" s="567" t="s">
        <v>489</v>
      </c>
      <c r="J1833" s="568" t="s">
        <v>288</v>
      </c>
      <c r="L1833" s="373">
        <v>1</v>
      </c>
    </row>
    <row r="1834" spans="1:12">
      <c r="A1834" s="565">
        <v>1829</v>
      </c>
      <c r="B1834" s="560" t="s">
        <v>278</v>
      </c>
      <c r="C1834" s="560" t="s">
        <v>518</v>
      </c>
      <c r="D1834" s="560" t="s">
        <v>292</v>
      </c>
      <c r="E1834" s="560">
        <v>112</v>
      </c>
      <c r="F1834" s="560">
        <v>2</v>
      </c>
      <c r="G1834" s="560" t="s">
        <v>286</v>
      </c>
      <c r="H1834" s="566">
        <v>3.1416549789621318</v>
      </c>
      <c r="I1834" s="567" t="s">
        <v>288</v>
      </c>
      <c r="J1834" s="568" t="s">
        <v>288</v>
      </c>
      <c r="L1834" s="373">
        <v>1</v>
      </c>
    </row>
    <row r="1835" spans="1:12">
      <c r="A1835" s="565">
        <v>1830</v>
      </c>
      <c r="B1835" s="560" t="s">
        <v>278</v>
      </c>
      <c r="C1835" s="560" t="s">
        <v>518</v>
      </c>
      <c r="D1835" s="560" t="s">
        <v>291</v>
      </c>
      <c r="E1835" s="560">
        <v>143</v>
      </c>
      <c r="F1835" s="560">
        <v>3</v>
      </c>
      <c r="G1835" s="560" t="s">
        <v>286</v>
      </c>
      <c r="H1835" s="566">
        <v>4.0112201963534364</v>
      </c>
      <c r="I1835" s="567" t="s">
        <v>464</v>
      </c>
      <c r="J1835" s="568" t="s">
        <v>288</v>
      </c>
      <c r="L1835" s="373">
        <v>1</v>
      </c>
    </row>
    <row r="1836" spans="1:12">
      <c r="A1836" s="565">
        <v>1831</v>
      </c>
      <c r="B1836" s="560" t="s">
        <v>278</v>
      </c>
      <c r="C1836" s="560" t="s">
        <v>518</v>
      </c>
      <c r="D1836" s="560" t="s">
        <v>291</v>
      </c>
      <c r="E1836" s="560">
        <v>158</v>
      </c>
      <c r="F1836" s="560">
        <v>5</v>
      </c>
      <c r="G1836" s="560" t="s">
        <v>286</v>
      </c>
      <c r="H1836" s="566">
        <v>4.4319775596072937</v>
      </c>
      <c r="I1836" s="567" t="s">
        <v>499</v>
      </c>
      <c r="J1836" s="568" t="s">
        <v>288</v>
      </c>
      <c r="L1836" s="373">
        <v>1</v>
      </c>
    </row>
    <row r="1837" spans="1:12">
      <c r="A1837" s="565">
        <v>1832</v>
      </c>
      <c r="B1837" s="560" t="s">
        <v>278</v>
      </c>
      <c r="C1837" s="560" t="s">
        <v>518</v>
      </c>
      <c r="D1837" s="560" t="s">
        <v>292</v>
      </c>
      <c r="E1837" s="560">
        <v>115</v>
      </c>
      <c r="F1837" s="560">
        <v>3</v>
      </c>
      <c r="G1837" s="560" t="s">
        <v>286</v>
      </c>
      <c r="H1837" s="566">
        <v>3.2258064516129035</v>
      </c>
      <c r="I1837" s="567" t="s">
        <v>464</v>
      </c>
      <c r="J1837" s="568" t="s">
        <v>288</v>
      </c>
      <c r="L1837" s="373">
        <v>1</v>
      </c>
    </row>
    <row r="1838" spans="1:12">
      <c r="A1838" s="565">
        <v>1833</v>
      </c>
      <c r="B1838" s="560" t="s">
        <v>278</v>
      </c>
      <c r="C1838" s="560" t="s">
        <v>518</v>
      </c>
      <c r="D1838" s="560" t="s">
        <v>291</v>
      </c>
      <c r="E1838" s="560">
        <v>133</v>
      </c>
      <c r="F1838" s="560">
        <v>3</v>
      </c>
      <c r="G1838" s="560" t="s">
        <v>286</v>
      </c>
      <c r="H1838" s="566">
        <v>3.7307152875175316</v>
      </c>
      <c r="I1838" s="567" t="s">
        <v>288</v>
      </c>
      <c r="J1838" s="568" t="s">
        <v>288</v>
      </c>
      <c r="L1838" s="373">
        <v>1</v>
      </c>
    </row>
    <row r="1839" spans="1:12">
      <c r="A1839" s="565">
        <v>1834</v>
      </c>
      <c r="B1839" s="560" t="s">
        <v>278</v>
      </c>
      <c r="C1839" s="560" t="s">
        <v>518</v>
      </c>
      <c r="D1839" s="560" t="s">
        <v>291</v>
      </c>
      <c r="E1839" s="560">
        <v>142</v>
      </c>
      <c r="F1839" s="560">
        <v>4</v>
      </c>
      <c r="G1839" s="560" t="s">
        <v>286</v>
      </c>
      <c r="H1839" s="566">
        <v>3.9831697054698458</v>
      </c>
      <c r="I1839" s="567" t="s">
        <v>464</v>
      </c>
      <c r="J1839" s="568" t="s">
        <v>288</v>
      </c>
      <c r="L1839" s="373">
        <v>1</v>
      </c>
    </row>
    <row r="1840" spans="1:12">
      <c r="A1840" s="565">
        <v>1835</v>
      </c>
      <c r="B1840" s="560" t="s">
        <v>278</v>
      </c>
      <c r="C1840" s="560" t="s">
        <v>518</v>
      </c>
      <c r="D1840" s="560" t="s">
        <v>292</v>
      </c>
      <c r="E1840" s="560">
        <v>156</v>
      </c>
      <c r="F1840" s="560">
        <v>5</v>
      </c>
      <c r="G1840" s="560" t="s">
        <v>286</v>
      </c>
      <c r="H1840" s="566">
        <v>4.3758765778401125</v>
      </c>
      <c r="I1840" s="567" t="s">
        <v>288</v>
      </c>
      <c r="J1840" s="568" t="s">
        <v>288</v>
      </c>
      <c r="L1840" s="373">
        <v>1</v>
      </c>
    </row>
    <row r="1841" spans="1:12" ht="21">
      <c r="A1841" s="565">
        <v>1836</v>
      </c>
      <c r="B1841" s="560" t="s">
        <v>278</v>
      </c>
      <c r="C1841" s="560" t="s">
        <v>518</v>
      </c>
      <c r="D1841" s="560" t="s">
        <v>291</v>
      </c>
      <c r="E1841" s="560">
        <v>168</v>
      </c>
      <c r="F1841" s="560">
        <v>7</v>
      </c>
      <c r="G1841" s="560" t="s">
        <v>286</v>
      </c>
      <c r="H1841" s="566">
        <v>4.7124824684431976</v>
      </c>
      <c r="I1841" s="567" t="s">
        <v>464</v>
      </c>
      <c r="J1841" s="568" t="s">
        <v>506</v>
      </c>
      <c r="L1841" s="373">
        <v>1</v>
      </c>
    </row>
    <row r="1842" spans="1:12">
      <c r="A1842" s="565">
        <v>1837</v>
      </c>
      <c r="B1842" s="560" t="s">
        <v>278</v>
      </c>
      <c r="C1842" s="560" t="s">
        <v>518</v>
      </c>
      <c r="D1842" s="560" t="s">
        <v>292</v>
      </c>
      <c r="E1842" s="560">
        <v>157</v>
      </c>
      <c r="F1842" s="560">
        <v>6</v>
      </c>
      <c r="G1842" s="560" t="s">
        <v>286</v>
      </c>
      <c r="H1842" s="566">
        <v>4.4039270687237027</v>
      </c>
      <c r="I1842" s="567" t="s">
        <v>464</v>
      </c>
      <c r="J1842" s="568" t="s">
        <v>288</v>
      </c>
      <c r="L1842" s="373">
        <v>1</v>
      </c>
    </row>
    <row r="1843" spans="1:12">
      <c r="A1843" s="565">
        <v>1838</v>
      </c>
      <c r="B1843" s="560" t="s">
        <v>278</v>
      </c>
      <c r="C1843" s="560" t="s">
        <v>518</v>
      </c>
      <c r="D1843" s="560" t="s">
        <v>291</v>
      </c>
      <c r="E1843" s="560">
        <v>152</v>
      </c>
      <c r="F1843" s="560">
        <v>5</v>
      </c>
      <c r="G1843" s="560" t="s">
        <v>286</v>
      </c>
      <c r="H1843" s="566">
        <v>4.2636746143057502</v>
      </c>
      <c r="I1843" s="567" t="s">
        <v>499</v>
      </c>
      <c r="J1843" s="568" t="s">
        <v>288</v>
      </c>
      <c r="L1843" s="373">
        <v>1</v>
      </c>
    </row>
    <row r="1844" spans="1:12">
      <c r="A1844" s="565">
        <v>1839</v>
      </c>
      <c r="B1844" s="560" t="s">
        <v>278</v>
      </c>
      <c r="C1844" s="560" t="s">
        <v>518</v>
      </c>
      <c r="D1844" s="560" t="s">
        <v>292</v>
      </c>
      <c r="E1844" s="560">
        <v>141</v>
      </c>
      <c r="F1844" s="560">
        <v>4</v>
      </c>
      <c r="G1844" s="560" t="s">
        <v>286</v>
      </c>
      <c r="H1844" s="566">
        <v>3.9551192145862553</v>
      </c>
      <c r="I1844" s="567" t="s">
        <v>464</v>
      </c>
      <c r="J1844" s="568" t="s">
        <v>288</v>
      </c>
      <c r="L1844" s="373">
        <v>1</v>
      </c>
    </row>
    <row r="1845" spans="1:12">
      <c r="A1845" s="565">
        <v>1840</v>
      </c>
      <c r="B1845" s="560" t="s">
        <v>278</v>
      </c>
      <c r="C1845" s="560" t="s">
        <v>518</v>
      </c>
      <c r="D1845" s="560" t="s">
        <v>292</v>
      </c>
      <c r="E1845" s="560">
        <v>138</v>
      </c>
      <c r="F1845" s="560">
        <v>3</v>
      </c>
      <c r="G1845" s="560" t="s">
        <v>286</v>
      </c>
      <c r="H1845" s="566">
        <v>3.870967741935484</v>
      </c>
      <c r="I1845" s="567" t="s">
        <v>464</v>
      </c>
      <c r="J1845" s="568" t="s">
        <v>288</v>
      </c>
      <c r="L1845" s="373">
        <v>1</v>
      </c>
    </row>
    <row r="1846" spans="1:12">
      <c r="A1846" s="565">
        <v>1841</v>
      </c>
      <c r="B1846" s="560" t="s">
        <v>278</v>
      </c>
      <c r="C1846" s="560" t="s">
        <v>518</v>
      </c>
      <c r="D1846" s="560" t="s">
        <v>292</v>
      </c>
      <c r="E1846" s="560">
        <v>147</v>
      </c>
      <c r="F1846" s="560">
        <v>5</v>
      </c>
      <c r="G1846" s="560" t="s">
        <v>286</v>
      </c>
      <c r="H1846" s="566">
        <v>4.1234221598877978</v>
      </c>
      <c r="I1846" s="567" t="s">
        <v>288</v>
      </c>
      <c r="J1846" s="568" t="s">
        <v>288</v>
      </c>
      <c r="L1846" s="373">
        <v>1</v>
      </c>
    </row>
    <row r="1847" spans="1:12">
      <c r="A1847" s="565">
        <v>1842</v>
      </c>
      <c r="B1847" s="560" t="s">
        <v>278</v>
      </c>
      <c r="C1847" s="560" t="s">
        <v>518</v>
      </c>
      <c r="D1847" s="560" t="s">
        <v>291</v>
      </c>
      <c r="E1847" s="560">
        <v>110</v>
      </c>
      <c r="F1847" s="560">
        <v>2</v>
      </c>
      <c r="G1847" s="560" t="s">
        <v>286</v>
      </c>
      <c r="H1847" s="566">
        <v>3.085553997194951</v>
      </c>
      <c r="I1847" s="567" t="s">
        <v>464</v>
      </c>
      <c r="J1847" s="568" t="s">
        <v>288</v>
      </c>
      <c r="L1847" s="373">
        <v>1</v>
      </c>
    </row>
    <row r="1848" spans="1:12">
      <c r="A1848" s="565">
        <v>1843</v>
      </c>
      <c r="B1848" s="560" t="s">
        <v>278</v>
      </c>
      <c r="C1848" s="560" t="s">
        <v>518</v>
      </c>
      <c r="D1848" s="560" t="s">
        <v>291</v>
      </c>
      <c r="E1848" s="560">
        <v>111</v>
      </c>
      <c r="F1848" s="560">
        <v>4</v>
      </c>
      <c r="G1848" s="560" t="s">
        <v>286</v>
      </c>
      <c r="H1848" s="566">
        <v>3.1136044880785416</v>
      </c>
      <c r="I1848" s="567" t="s">
        <v>464</v>
      </c>
      <c r="J1848" s="568" t="s">
        <v>288</v>
      </c>
      <c r="L1848" s="373">
        <v>1</v>
      </c>
    </row>
    <row r="1849" spans="1:12" ht="21">
      <c r="A1849" s="565">
        <v>1844</v>
      </c>
      <c r="B1849" s="560" t="s">
        <v>278</v>
      </c>
      <c r="C1849" s="560" t="s">
        <v>518</v>
      </c>
      <c r="D1849" s="560" t="s">
        <v>292</v>
      </c>
      <c r="E1849" s="560">
        <v>147</v>
      </c>
      <c r="F1849" s="560">
        <v>3</v>
      </c>
      <c r="G1849" s="560" t="s">
        <v>286</v>
      </c>
      <c r="H1849" s="566">
        <v>4.1234221598877978</v>
      </c>
      <c r="I1849" s="567" t="s">
        <v>464</v>
      </c>
      <c r="J1849" s="568" t="s">
        <v>506</v>
      </c>
      <c r="L1849" s="373">
        <v>1</v>
      </c>
    </row>
    <row r="1850" spans="1:12">
      <c r="A1850" s="565">
        <v>1845</v>
      </c>
      <c r="B1850" s="560" t="s">
        <v>278</v>
      </c>
      <c r="C1850" s="560" t="s">
        <v>518</v>
      </c>
      <c r="D1850" s="560" t="s">
        <v>290</v>
      </c>
      <c r="E1850" s="560">
        <v>110</v>
      </c>
      <c r="F1850" s="560">
        <v>2</v>
      </c>
      <c r="G1850" s="560" t="s">
        <v>286</v>
      </c>
      <c r="H1850" s="566">
        <v>3.085553997194951</v>
      </c>
      <c r="I1850" s="567" t="s">
        <v>288</v>
      </c>
      <c r="J1850" s="568" t="s">
        <v>288</v>
      </c>
      <c r="L1850" s="373">
        <v>1</v>
      </c>
    </row>
    <row r="1851" spans="1:12">
      <c r="A1851" s="565">
        <v>1846</v>
      </c>
      <c r="B1851" s="560" t="s">
        <v>278</v>
      </c>
      <c r="C1851" s="560" t="s">
        <v>518</v>
      </c>
      <c r="D1851" s="560" t="s">
        <v>291</v>
      </c>
      <c r="E1851" s="560">
        <v>143</v>
      </c>
      <c r="F1851" s="560">
        <v>3</v>
      </c>
      <c r="G1851" s="560" t="s">
        <v>286</v>
      </c>
      <c r="H1851" s="566">
        <v>4.0112201963534364</v>
      </c>
      <c r="I1851" s="567" t="s">
        <v>499</v>
      </c>
      <c r="J1851" s="568" t="s">
        <v>288</v>
      </c>
      <c r="L1851" s="373">
        <v>1</v>
      </c>
    </row>
    <row r="1852" spans="1:12" ht="21">
      <c r="A1852" s="565">
        <v>1847</v>
      </c>
      <c r="B1852" s="560" t="s">
        <v>278</v>
      </c>
      <c r="C1852" s="560" t="s">
        <v>518</v>
      </c>
      <c r="D1852" s="560" t="s">
        <v>293</v>
      </c>
      <c r="E1852" s="560">
        <v>136</v>
      </c>
      <c r="F1852" s="560">
        <v>4</v>
      </c>
      <c r="G1852" s="560" t="s">
        <v>286</v>
      </c>
      <c r="H1852" s="566">
        <v>3.8148667601683033</v>
      </c>
      <c r="I1852" s="567" t="s">
        <v>489</v>
      </c>
      <c r="J1852" s="568" t="s">
        <v>474</v>
      </c>
      <c r="L1852" s="373">
        <v>1</v>
      </c>
    </row>
    <row r="1853" spans="1:12" ht="21">
      <c r="A1853" s="565">
        <v>1848</v>
      </c>
      <c r="B1853" s="560" t="s">
        <v>278</v>
      </c>
      <c r="C1853" s="560" t="s">
        <v>518</v>
      </c>
      <c r="D1853" s="560" t="s">
        <v>291</v>
      </c>
      <c r="E1853" s="560">
        <v>162</v>
      </c>
      <c r="F1853" s="560">
        <v>5</v>
      </c>
      <c r="G1853" s="560" t="s">
        <v>286</v>
      </c>
      <c r="H1853" s="566">
        <v>4.5441795231416551</v>
      </c>
      <c r="I1853" s="567" t="s">
        <v>489</v>
      </c>
      <c r="J1853" s="568" t="s">
        <v>288</v>
      </c>
      <c r="L1853" s="373">
        <v>1</v>
      </c>
    </row>
    <row r="1854" spans="1:12">
      <c r="A1854" s="565">
        <v>1849</v>
      </c>
      <c r="B1854" s="560" t="s">
        <v>278</v>
      </c>
      <c r="C1854" s="560" t="s">
        <v>518</v>
      </c>
      <c r="D1854" s="560" t="s">
        <v>292</v>
      </c>
      <c r="E1854" s="560">
        <v>112</v>
      </c>
      <c r="F1854" s="560">
        <v>2</v>
      </c>
      <c r="G1854" s="560" t="s">
        <v>286</v>
      </c>
      <c r="H1854" s="566">
        <v>3.1416549789621318</v>
      </c>
      <c r="I1854" s="567" t="s">
        <v>288</v>
      </c>
      <c r="J1854" s="568" t="s">
        <v>288</v>
      </c>
      <c r="L1854" s="373">
        <v>1</v>
      </c>
    </row>
    <row r="1855" spans="1:12">
      <c r="A1855" s="565">
        <v>1850</v>
      </c>
      <c r="B1855" s="560" t="s">
        <v>278</v>
      </c>
      <c r="C1855" s="560" t="s">
        <v>518</v>
      </c>
      <c r="D1855" s="560" t="s">
        <v>291</v>
      </c>
      <c r="E1855" s="560">
        <v>143</v>
      </c>
      <c r="F1855" s="560">
        <v>3</v>
      </c>
      <c r="G1855" s="560" t="s">
        <v>286</v>
      </c>
      <c r="H1855" s="566">
        <v>4.0112201963534364</v>
      </c>
      <c r="I1855" s="567" t="s">
        <v>464</v>
      </c>
      <c r="J1855" s="568" t="s">
        <v>288</v>
      </c>
      <c r="L1855" s="373">
        <v>1</v>
      </c>
    </row>
    <row r="1856" spans="1:12">
      <c r="A1856" s="565">
        <v>1851</v>
      </c>
      <c r="B1856" s="560" t="s">
        <v>278</v>
      </c>
      <c r="C1856" s="560" t="s">
        <v>518</v>
      </c>
      <c r="D1856" s="560" t="s">
        <v>291</v>
      </c>
      <c r="E1856" s="560">
        <v>158</v>
      </c>
      <c r="F1856" s="560">
        <v>5</v>
      </c>
      <c r="G1856" s="560" t="s">
        <v>286</v>
      </c>
      <c r="H1856" s="566">
        <v>4.4319775596072937</v>
      </c>
      <c r="I1856" s="567" t="s">
        <v>499</v>
      </c>
      <c r="J1856" s="568" t="s">
        <v>288</v>
      </c>
      <c r="L1856" s="373">
        <v>1</v>
      </c>
    </row>
    <row r="1857" spans="1:12">
      <c r="A1857" s="565">
        <v>1852</v>
      </c>
      <c r="B1857" s="560" t="s">
        <v>278</v>
      </c>
      <c r="C1857" s="560" t="s">
        <v>518</v>
      </c>
      <c r="D1857" s="560" t="s">
        <v>292</v>
      </c>
      <c r="E1857" s="560">
        <v>115</v>
      </c>
      <c r="F1857" s="560">
        <v>3</v>
      </c>
      <c r="G1857" s="560" t="s">
        <v>286</v>
      </c>
      <c r="H1857" s="566">
        <v>3.2258064516129035</v>
      </c>
      <c r="I1857" s="567" t="s">
        <v>464</v>
      </c>
      <c r="J1857" s="568" t="s">
        <v>288</v>
      </c>
      <c r="L1857" s="373">
        <v>1</v>
      </c>
    </row>
    <row r="1858" spans="1:12">
      <c r="A1858" s="565">
        <v>1853</v>
      </c>
      <c r="B1858" s="560" t="s">
        <v>278</v>
      </c>
      <c r="C1858" s="560" t="s">
        <v>518</v>
      </c>
      <c r="D1858" s="560" t="s">
        <v>291</v>
      </c>
      <c r="E1858" s="560">
        <v>133</v>
      </c>
      <c r="F1858" s="560">
        <v>3</v>
      </c>
      <c r="G1858" s="560" t="s">
        <v>286</v>
      </c>
      <c r="H1858" s="566">
        <v>3.7307152875175316</v>
      </c>
      <c r="I1858" s="567" t="s">
        <v>288</v>
      </c>
      <c r="J1858" s="568" t="s">
        <v>288</v>
      </c>
      <c r="L1858" s="373">
        <v>1</v>
      </c>
    </row>
    <row r="1859" spans="1:12">
      <c r="A1859" s="565">
        <v>1854</v>
      </c>
      <c r="B1859" s="560" t="s">
        <v>278</v>
      </c>
      <c r="C1859" s="560" t="s">
        <v>518</v>
      </c>
      <c r="D1859" s="560" t="s">
        <v>291</v>
      </c>
      <c r="E1859" s="560">
        <v>142</v>
      </c>
      <c r="F1859" s="560">
        <v>4</v>
      </c>
      <c r="G1859" s="560" t="s">
        <v>286</v>
      </c>
      <c r="H1859" s="566">
        <v>3.9831697054698458</v>
      </c>
      <c r="I1859" s="567" t="s">
        <v>464</v>
      </c>
      <c r="J1859" s="568" t="s">
        <v>288</v>
      </c>
      <c r="L1859" s="373">
        <v>1</v>
      </c>
    </row>
    <row r="1860" spans="1:12">
      <c r="A1860" s="565">
        <v>1855</v>
      </c>
      <c r="B1860" s="560" t="s">
        <v>278</v>
      </c>
      <c r="C1860" s="560" t="s">
        <v>518</v>
      </c>
      <c r="D1860" s="560" t="s">
        <v>292</v>
      </c>
      <c r="E1860" s="560">
        <v>156</v>
      </c>
      <c r="F1860" s="560">
        <v>5</v>
      </c>
      <c r="G1860" s="560" t="s">
        <v>286</v>
      </c>
      <c r="H1860" s="566">
        <v>4.3758765778401125</v>
      </c>
      <c r="I1860" s="567" t="s">
        <v>288</v>
      </c>
      <c r="J1860" s="568" t="s">
        <v>288</v>
      </c>
      <c r="L1860" s="373">
        <v>1</v>
      </c>
    </row>
    <row r="1861" spans="1:12" ht="21">
      <c r="A1861" s="565">
        <v>1856</v>
      </c>
      <c r="B1861" s="560" t="s">
        <v>278</v>
      </c>
      <c r="C1861" s="560" t="s">
        <v>518</v>
      </c>
      <c r="D1861" s="560" t="s">
        <v>291</v>
      </c>
      <c r="E1861" s="560">
        <v>168</v>
      </c>
      <c r="F1861" s="560">
        <v>7</v>
      </c>
      <c r="G1861" s="560" t="s">
        <v>286</v>
      </c>
      <c r="H1861" s="566">
        <v>4.7124824684431976</v>
      </c>
      <c r="I1861" s="567" t="s">
        <v>464</v>
      </c>
      <c r="J1861" s="568" t="s">
        <v>506</v>
      </c>
      <c r="L1861" s="373">
        <v>1</v>
      </c>
    </row>
    <row r="1862" spans="1:12">
      <c r="A1862" s="565">
        <v>1857</v>
      </c>
      <c r="B1862" s="560" t="s">
        <v>278</v>
      </c>
      <c r="C1862" s="560" t="s">
        <v>518</v>
      </c>
      <c r="D1862" s="560" t="s">
        <v>292</v>
      </c>
      <c r="E1862" s="560">
        <v>157</v>
      </c>
      <c r="F1862" s="560">
        <v>6</v>
      </c>
      <c r="G1862" s="560" t="s">
        <v>286</v>
      </c>
      <c r="H1862" s="566">
        <v>4.4039270687237027</v>
      </c>
      <c r="I1862" s="567" t="s">
        <v>464</v>
      </c>
      <c r="J1862" s="568" t="s">
        <v>288</v>
      </c>
      <c r="L1862" s="373">
        <v>1</v>
      </c>
    </row>
    <row r="1863" spans="1:12">
      <c r="A1863" s="565">
        <v>1858</v>
      </c>
      <c r="B1863" s="560" t="s">
        <v>278</v>
      </c>
      <c r="C1863" s="560" t="s">
        <v>518</v>
      </c>
      <c r="D1863" s="560" t="s">
        <v>291</v>
      </c>
      <c r="E1863" s="560">
        <v>152</v>
      </c>
      <c r="F1863" s="560">
        <v>5</v>
      </c>
      <c r="G1863" s="560" t="s">
        <v>286</v>
      </c>
      <c r="H1863" s="566">
        <v>4.2636746143057502</v>
      </c>
      <c r="I1863" s="567" t="s">
        <v>499</v>
      </c>
      <c r="J1863" s="568" t="s">
        <v>288</v>
      </c>
      <c r="L1863" s="373">
        <v>1</v>
      </c>
    </row>
    <row r="1864" spans="1:12">
      <c r="A1864" s="565">
        <v>1859</v>
      </c>
      <c r="B1864" s="560" t="s">
        <v>278</v>
      </c>
      <c r="C1864" s="560" t="s">
        <v>518</v>
      </c>
      <c r="D1864" s="560" t="s">
        <v>292</v>
      </c>
      <c r="E1864" s="560">
        <v>141</v>
      </c>
      <c r="F1864" s="560">
        <v>4</v>
      </c>
      <c r="G1864" s="560" t="s">
        <v>286</v>
      </c>
      <c r="H1864" s="566">
        <v>3.9551192145862553</v>
      </c>
      <c r="I1864" s="567" t="s">
        <v>464</v>
      </c>
      <c r="J1864" s="568" t="s">
        <v>288</v>
      </c>
      <c r="L1864" s="373">
        <v>1</v>
      </c>
    </row>
    <row r="1865" spans="1:12">
      <c r="A1865" s="565">
        <v>1860</v>
      </c>
      <c r="B1865" s="560" t="s">
        <v>278</v>
      </c>
      <c r="C1865" s="560" t="s">
        <v>518</v>
      </c>
      <c r="D1865" s="560" t="s">
        <v>292</v>
      </c>
      <c r="E1865" s="560">
        <v>138</v>
      </c>
      <c r="F1865" s="560">
        <v>3</v>
      </c>
      <c r="G1865" s="560" t="s">
        <v>286</v>
      </c>
      <c r="H1865" s="566">
        <v>3.870967741935484</v>
      </c>
      <c r="I1865" s="567" t="s">
        <v>464</v>
      </c>
      <c r="J1865" s="568" t="s">
        <v>288</v>
      </c>
      <c r="L1865" s="373">
        <v>1</v>
      </c>
    </row>
    <row r="1866" spans="1:12">
      <c r="A1866" s="565">
        <v>1861</v>
      </c>
      <c r="B1866" s="560" t="s">
        <v>278</v>
      </c>
      <c r="C1866" s="560" t="s">
        <v>518</v>
      </c>
      <c r="D1866" s="560" t="s">
        <v>292</v>
      </c>
      <c r="E1866" s="560">
        <v>147</v>
      </c>
      <c r="F1866" s="560">
        <v>5</v>
      </c>
      <c r="G1866" s="560" t="s">
        <v>286</v>
      </c>
      <c r="H1866" s="566">
        <v>4.1234221598877978</v>
      </c>
      <c r="I1866" s="567" t="s">
        <v>288</v>
      </c>
      <c r="J1866" s="568" t="s">
        <v>288</v>
      </c>
      <c r="L1866" s="373">
        <v>1</v>
      </c>
    </row>
    <row r="1867" spans="1:12">
      <c r="A1867" s="565">
        <v>1862</v>
      </c>
      <c r="B1867" s="560" t="s">
        <v>278</v>
      </c>
      <c r="C1867" s="560" t="s">
        <v>518</v>
      </c>
      <c r="D1867" s="560" t="s">
        <v>291</v>
      </c>
      <c r="E1867" s="560">
        <v>110</v>
      </c>
      <c r="F1867" s="560">
        <v>2</v>
      </c>
      <c r="G1867" s="560" t="s">
        <v>286</v>
      </c>
      <c r="H1867" s="566">
        <v>3.085553997194951</v>
      </c>
      <c r="I1867" s="567" t="s">
        <v>464</v>
      </c>
      <c r="J1867" s="568" t="s">
        <v>288</v>
      </c>
      <c r="L1867" s="373">
        <v>1</v>
      </c>
    </row>
    <row r="1868" spans="1:12">
      <c r="A1868" s="565">
        <v>1863</v>
      </c>
      <c r="B1868" s="560" t="s">
        <v>278</v>
      </c>
      <c r="C1868" s="560" t="s">
        <v>518</v>
      </c>
      <c r="D1868" s="560" t="s">
        <v>292</v>
      </c>
      <c r="E1868" s="560">
        <v>97</v>
      </c>
      <c r="F1868" s="560">
        <v>3</v>
      </c>
      <c r="G1868" s="560" t="s">
        <v>286</v>
      </c>
      <c r="H1868" s="566">
        <v>2.7208976157082749</v>
      </c>
      <c r="I1868" s="567" t="s">
        <v>288</v>
      </c>
      <c r="J1868" s="568" t="s">
        <v>288</v>
      </c>
      <c r="L1868" s="373">
        <v>1</v>
      </c>
    </row>
    <row r="1869" spans="1:12">
      <c r="A1869" s="565">
        <v>1864</v>
      </c>
      <c r="B1869" s="560" t="s">
        <v>278</v>
      </c>
      <c r="C1869" s="560" t="s">
        <v>518</v>
      </c>
      <c r="D1869" s="560" t="s">
        <v>291</v>
      </c>
      <c r="E1869" s="560">
        <v>152</v>
      </c>
      <c r="F1869" s="560">
        <v>4</v>
      </c>
      <c r="G1869" s="560" t="s">
        <v>286</v>
      </c>
      <c r="H1869" s="566">
        <v>4.2636746143057502</v>
      </c>
      <c r="I1869" s="567" t="s">
        <v>464</v>
      </c>
      <c r="J1869" s="568" t="s">
        <v>288</v>
      </c>
      <c r="L1869" s="373">
        <v>1</v>
      </c>
    </row>
    <row r="1870" spans="1:12">
      <c r="A1870" s="565">
        <v>1865</v>
      </c>
      <c r="B1870" s="560" t="s">
        <v>278</v>
      </c>
      <c r="C1870" s="560" t="s">
        <v>518</v>
      </c>
      <c r="D1870" s="560" t="s">
        <v>292</v>
      </c>
      <c r="E1870" s="560">
        <v>148</v>
      </c>
      <c r="F1870" s="560">
        <v>5</v>
      </c>
      <c r="G1870" s="560" t="s">
        <v>286</v>
      </c>
      <c r="H1870" s="566">
        <v>4.1514726507713888</v>
      </c>
      <c r="I1870" s="567" t="s">
        <v>288</v>
      </c>
      <c r="J1870" s="568" t="s">
        <v>288</v>
      </c>
      <c r="L1870" s="373">
        <v>1</v>
      </c>
    </row>
    <row r="1871" spans="1:12">
      <c r="A1871" s="565">
        <v>1866</v>
      </c>
      <c r="B1871" s="560" t="s">
        <v>278</v>
      </c>
      <c r="C1871" s="560" t="s">
        <v>518</v>
      </c>
      <c r="D1871" s="560" t="s">
        <v>292</v>
      </c>
      <c r="E1871" s="560">
        <v>115</v>
      </c>
      <c r="F1871" s="560">
        <v>3</v>
      </c>
      <c r="G1871" s="560" t="s">
        <v>286</v>
      </c>
      <c r="H1871" s="566">
        <v>3.2258064516129035</v>
      </c>
      <c r="I1871" s="567" t="s">
        <v>288</v>
      </c>
      <c r="J1871" s="568" t="s">
        <v>288</v>
      </c>
      <c r="L1871" s="373">
        <v>1</v>
      </c>
    </row>
    <row r="1872" spans="1:12">
      <c r="A1872" s="565">
        <v>1867</v>
      </c>
      <c r="B1872" s="560" t="s">
        <v>278</v>
      </c>
      <c r="C1872" s="560" t="s">
        <v>518</v>
      </c>
      <c r="D1872" s="560" t="s">
        <v>292</v>
      </c>
      <c r="E1872" s="560">
        <v>116</v>
      </c>
      <c r="F1872" s="560">
        <v>2</v>
      </c>
      <c r="G1872" s="560" t="s">
        <v>286</v>
      </c>
      <c r="H1872" s="566">
        <v>3.2538569424964936</v>
      </c>
      <c r="I1872" s="567" t="s">
        <v>288</v>
      </c>
      <c r="J1872" s="568" t="s">
        <v>288</v>
      </c>
      <c r="L1872" s="373">
        <v>1</v>
      </c>
    </row>
    <row r="1873" spans="1:12" ht="21">
      <c r="A1873" s="565">
        <v>1868</v>
      </c>
      <c r="B1873" s="560" t="s">
        <v>278</v>
      </c>
      <c r="C1873" s="560" t="s">
        <v>518</v>
      </c>
      <c r="D1873" s="560" t="s">
        <v>291</v>
      </c>
      <c r="E1873" s="560">
        <v>127</v>
      </c>
      <c r="F1873" s="560">
        <v>4</v>
      </c>
      <c r="G1873" s="560" t="s">
        <v>115</v>
      </c>
      <c r="H1873" s="566">
        <v>0</v>
      </c>
      <c r="I1873" s="567" t="s">
        <v>489</v>
      </c>
      <c r="J1873" s="568" t="s">
        <v>288</v>
      </c>
      <c r="L1873" s="373">
        <v>1</v>
      </c>
    </row>
    <row r="1874" spans="1:12">
      <c r="A1874" s="565">
        <v>1869</v>
      </c>
      <c r="B1874" s="560" t="s">
        <v>278</v>
      </c>
      <c r="C1874" s="560" t="s">
        <v>518</v>
      </c>
      <c r="D1874" s="560" t="s">
        <v>292</v>
      </c>
      <c r="E1874" s="560">
        <v>132</v>
      </c>
      <c r="F1874" s="560">
        <v>3</v>
      </c>
      <c r="G1874" s="560" t="s">
        <v>115</v>
      </c>
      <c r="H1874" s="566">
        <v>0</v>
      </c>
      <c r="I1874" s="567" t="s">
        <v>288</v>
      </c>
      <c r="J1874" s="568" t="s">
        <v>288</v>
      </c>
      <c r="L1874" s="373">
        <v>1</v>
      </c>
    </row>
    <row r="1875" spans="1:12">
      <c r="A1875" s="565">
        <v>1870</v>
      </c>
      <c r="B1875" s="560" t="s">
        <v>278</v>
      </c>
      <c r="C1875" s="560" t="s">
        <v>518</v>
      </c>
      <c r="D1875" s="560" t="s">
        <v>290</v>
      </c>
      <c r="E1875" s="560">
        <v>119</v>
      </c>
      <c r="F1875" s="560">
        <v>2</v>
      </c>
      <c r="G1875" s="560" t="s">
        <v>286</v>
      </c>
      <c r="H1875" s="566">
        <v>3.3380084151472653</v>
      </c>
      <c r="I1875" s="567" t="s">
        <v>288</v>
      </c>
      <c r="J1875" s="568" t="s">
        <v>288</v>
      </c>
      <c r="L1875" s="373">
        <v>1</v>
      </c>
    </row>
    <row r="1876" spans="1:12">
      <c r="A1876" s="565">
        <v>1871</v>
      </c>
      <c r="B1876" s="560" t="s">
        <v>278</v>
      </c>
      <c r="C1876" s="560" t="s">
        <v>518</v>
      </c>
      <c r="D1876" s="560" t="s">
        <v>291</v>
      </c>
      <c r="E1876" s="560">
        <v>148</v>
      </c>
      <c r="F1876" s="560">
        <v>3</v>
      </c>
      <c r="G1876" s="560" t="s">
        <v>286</v>
      </c>
      <c r="H1876" s="566">
        <v>4.1514726507713888</v>
      </c>
      <c r="I1876" s="567" t="s">
        <v>499</v>
      </c>
      <c r="J1876" s="568" t="s">
        <v>288</v>
      </c>
      <c r="L1876" s="373">
        <v>1</v>
      </c>
    </row>
    <row r="1877" spans="1:12">
      <c r="A1877" s="565">
        <v>1872</v>
      </c>
      <c r="B1877" s="560" t="s">
        <v>278</v>
      </c>
      <c r="C1877" s="560" t="s">
        <v>518</v>
      </c>
      <c r="D1877" s="560" t="s">
        <v>291</v>
      </c>
      <c r="E1877" s="560">
        <v>157</v>
      </c>
      <c r="F1877" s="560">
        <v>5</v>
      </c>
      <c r="G1877" s="560" t="s">
        <v>286</v>
      </c>
      <c r="H1877" s="566">
        <v>4.4039270687237027</v>
      </c>
      <c r="I1877" s="567" t="s">
        <v>288</v>
      </c>
      <c r="J1877" s="568" t="s">
        <v>288</v>
      </c>
      <c r="L1877" s="373">
        <v>1</v>
      </c>
    </row>
    <row r="1878" spans="1:12" ht="21">
      <c r="A1878" s="565">
        <v>1873</v>
      </c>
      <c r="B1878" s="560" t="s">
        <v>278</v>
      </c>
      <c r="C1878" s="560" t="s">
        <v>518</v>
      </c>
      <c r="D1878" s="560" t="s">
        <v>291</v>
      </c>
      <c r="E1878" s="560">
        <v>139</v>
      </c>
      <c r="F1878" s="560">
        <v>4</v>
      </c>
      <c r="G1878" s="560" t="s">
        <v>286</v>
      </c>
      <c r="H1878" s="566">
        <v>3.8990182328190746</v>
      </c>
      <c r="I1878" s="567" t="s">
        <v>489</v>
      </c>
      <c r="J1878" s="568" t="s">
        <v>288</v>
      </c>
      <c r="L1878" s="373">
        <v>1</v>
      </c>
    </row>
    <row r="1879" spans="1:12">
      <c r="A1879" s="565">
        <v>1874</v>
      </c>
      <c r="B1879" s="560" t="s">
        <v>278</v>
      </c>
      <c r="C1879" s="560" t="s">
        <v>518</v>
      </c>
      <c r="D1879" s="560" t="s">
        <v>291</v>
      </c>
      <c r="E1879" s="560">
        <v>140</v>
      </c>
      <c r="F1879" s="560">
        <v>3</v>
      </c>
      <c r="G1879" s="560" t="s">
        <v>286</v>
      </c>
      <c r="H1879" s="566">
        <v>3.9270687237026651</v>
      </c>
      <c r="I1879" s="567" t="s">
        <v>464</v>
      </c>
      <c r="J1879" s="568" t="s">
        <v>288</v>
      </c>
      <c r="L1879" s="373">
        <v>1</v>
      </c>
    </row>
    <row r="1880" spans="1:12">
      <c r="A1880" s="565">
        <v>1875</v>
      </c>
      <c r="B1880" s="560" t="s">
        <v>278</v>
      </c>
      <c r="C1880" s="560" t="s">
        <v>518</v>
      </c>
      <c r="D1880" s="560" t="s">
        <v>291</v>
      </c>
      <c r="E1880" s="560">
        <v>196</v>
      </c>
      <c r="F1880" s="560">
        <v>8</v>
      </c>
      <c r="G1880" s="560" t="s">
        <v>286</v>
      </c>
      <c r="H1880" s="566">
        <v>5.497896213183731</v>
      </c>
      <c r="I1880" s="567" t="s">
        <v>499</v>
      </c>
      <c r="J1880" s="568" t="s">
        <v>500</v>
      </c>
      <c r="L1880" s="373">
        <v>1</v>
      </c>
    </row>
    <row r="1881" spans="1:12">
      <c r="A1881" s="565">
        <v>1876</v>
      </c>
      <c r="B1881" s="560" t="s">
        <v>278</v>
      </c>
      <c r="C1881" s="560" t="s">
        <v>518</v>
      </c>
      <c r="D1881" s="560" t="s">
        <v>291</v>
      </c>
      <c r="E1881" s="560">
        <v>137</v>
      </c>
      <c r="F1881" s="560">
        <v>3</v>
      </c>
      <c r="G1881" s="560" t="s">
        <v>286</v>
      </c>
      <c r="H1881" s="566">
        <v>3.8429172510518934</v>
      </c>
      <c r="I1881" s="567" t="s">
        <v>499</v>
      </c>
      <c r="J1881" s="568" t="s">
        <v>288</v>
      </c>
      <c r="L1881" s="373">
        <v>1</v>
      </c>
    </row>
    <row r="1882" spans="1:12">
      <c r="A1882" s="565">
        <v>1877</v>
      </c>
      <c r="B1882" s="560" t="s">
        <v>278</v>
      </c>
      <c r="C1882" s="560" t="s">
        <v>518</v>
      </c>
      <c r="D1882" s="560" t="s">
        <v>291</v>
      </c>
      <c r="E1882" s="560">
        <v>158</v>
      </c>
      <c r="F1882" s="560">
        <v>6</v>
      </c>
      <c r="G1882" s="560" t="s">
        <v>286</v>
      </c>
      <c r="H1882" s="566">
        <v>4.4319775596072937</v>
      </c>
      <c r="I1882" s="567" t="s">
        <v>288</v>
      </c>
      <c r="J1882" s="568" t="s">
        <v>288</v>
      </c>
      <c r="L1882" s="373">
        <v>1</v>
      </c>
    </row>
    <row r="1883" spans="1:12">
      <c r="A1883" s="565">
        <v>1878</v>
      </c>
      <c r="B1883" s="560" t="s">
        <v>278</v>
      </c>
      <c r="C1883" s="560" t="s">
        <v>518</v>
      </c>
      <c r="D1883" s="560" t="s">
        <v>291</v>
      </c>
      <c r="E1883" s="560">
        <v>129</v>
      </c>
      <c r="F1883" s="560">
        <v>3</v>
      </c>
      <c r="G1883" s="560" t="s">
        <v>286</v>
      </c>
      <c r="H1883" s="566">
        <v>3.6185133239831697</v>
      </c>
      <c r="I1883" s="567" t="s">
        <v>464</v>
      </c>
      <c r="J1883" s="568" t="s">
        <v>288</v>
      </c>
      <c r="L1883" s="373">
        <v>1</v>
      </c>
    </row>
    <row r="1884" spans="1:12">
      <c r="A1884" s="565">
        <v>1879</v>
      </c>
      <c r="B1884" s="560" t="s">
        <v>278</v>
      </c>
      <c r="C1884" s="560" t="s">
        <v>531</v>
      </c>
      <c r="D1884" s="560" t="s">
        <v>292</v>
      </c>
      <c r="E1884" s="560">
        <v>122</v>
      </c>
      <c r="F1884" s="560">
        <v>3</v>
      </c>
      <c r="G1884" s="560" t="s">
        <v>286</v>
      </c>
      <c r="H1884" s="566">
        <v>3.4221598877980366</v>
      </c>
      <c r="I1884" s="567" t="s">
        <v>288</v>
      </c>
      <c r="J1884" s="568" t="s">
        <v>288</v>
      </c>
      <c r="L1884" s="373">
        <v>1</v>
      </c>
    </row>
    <row r="1885" spans="1:12">
      <c r="A1885" s="565">
        <v>1880</v>
      </c>
      <c r="B1885" s="560" t="s">
        <v>278</v>
      </c>
      <c r="C1885" s="560" t="s">
        <v>531</v>
      </c>
      <c r="D1885" s="560" t="s">
        <v>292</v>
      </c>
      <c r="E1885" s="560">
        <v>143</v>
      </c>
      <c r="F1885" s="560">
        <v>5</v>
      </c>
      <c r="G1885" s="560" t="s">
        <v>286</v>
      </c>
      <c r="H1885" s="566">
        <v>4.0112201963534364</v>
      </c>
      <c r="I1885" s="567" t="s">
        <v>288</v>
      </c>
      <c r="J1885" s="568" t="s">
        <v>288</v>
      </c>
      <c r="L1885" s="373">
        <v>1</v>
      </c>
    </row>
    <row r="1886" spans="1:12">
      <c r="A1886" s="565">
        <v>1881</v>
      </c>
      <c r="B1886" s="560" t="s">
        <v>278</v>
      </c>
      <c r="C1886" s="560" t="s">
        <v>531</v>
      </c>
      <c r="D1886" s="560" t="s">
        <v>291</v>
      </c>
      <c r="E1886" s="560">
        <v>183</v>
      </c>
      <c r="F1886" s="560">
        <v>7</v>
      </c>
      <c r="G1886" s="560" t="s">
        <v>286</v>
      </c>
      <c r="H1886" s="566">
        <v>5.1332398316970549</v>
      </c>
      <c r="I1886" s="567" t="s">
        <v>464</v>
      </c>
      <c r="J1886" s="568" t="s">
        <v>288</v>
      </c>
      <c r="L1886" s="373">
        <v>1</v>
      </c>
    </row>
    <row r="1887" spans="1:12" ht="21">
      <c r="A1887" s="565">
        <v>1882</v>
      </c>
      <c r="B1887" s="560" t="s">
        <v>278</v>
      </c>
      <c r="C1887" s="560" t="s">
        <v>531</v>
      </c>
      <c r="D1887" s="560" t="s">
        <v>291</v>
      </c>
      <c r="E1887" s="560">
        <v>127</v>
      </c>
      <c r="F1887" s="560">
        <v>4</v>
      </c>
      <c r="G1887" s="560" t="s">
        <v>286</v>
      </c>
      <c r="H1887" s="566">
        <v>3.562412342215989</v>
      </c>
      <c r="I1887" s="567" t="s">
        <v>464</v>
      </c>
      <c r="J1887" s="568" t="s">
        <v>506</v>
      </c>
      <c r="L1887" s="373">
        <v>1</v>
      </c>
    </row>
    <row r="1888" spans="1:12">
      <c r="A1888" s="565">
        <v>1883</v>
      </c>
      <c r="B1888" s="560" t="s">
        <v>278</v>
      </c>
      <c r="C1888" s="560" t="s">
        <v>531</v>
      </c>
      <c r="D1888" s="560" t="s">
        <v>291</v>
      </c>
      <c r="E1888" s="560">
        <v>152</v>
      </c>
      <c r="F1888" s="560">
        <v>5</v>
      </c>
      <c r="G1888" s="560" t="s">
        <v>286</v>
      </c>
      <c r="H1888" s="566">
        <v>4.2636746143057502</v>
      </c>
      <c r="I1888" s="567" t="s">
        <v>288</v>
      </c>
      <c r="J1888" s="568" t="s">
        <v>288</v>
      </c>
      <c r="L1888" s="373">
        <v>1</v>
      </c>
    </row>
    <row r="1889" spans="1:12">
      <c r="A1889" s="565">
        <v>1884</v>
      </c>
      <c r="B1889" s="560" t="s">
        <v>278</v>
      </c>
      <c r="C1889" s="560" t="s">
        <v>531</v>
      </c>
      <c r="D1889" s="560" t="s">
        <v>292</v>
      </c>
      <c r="E1889" s="560">
        <v>98</v>
      </c>
      <c r="F1889" s="560">
        <v>3</v>
      </c>
      <c r="G1889" s="560" t="s">
        <v>286</v>
      </c>
      <c r="H1889" s="566">
        <v>2.7489481065918655</v>
      </c>
      <c r="I1889" s="567" t="s">
        <v>288</v>
      </c>
      <c r="J1889" s="568" t="s">
        <v>288</v>
      </c>
      <c r="L1889" s="373">
        <v>1</v>
      </c>
    </row>
    <row r="1890" spans="1:12">
      <c r="A1890" s="565">
        <v>1885</v>
      </c>
      <c r="B1890" s="560" t="s">
        <v>278</v>
      </c>
      <c r="C1890" s="560" t="s">
        <v>531</v>
      </c>
      <c r="D1890" s="560" t="s">
        <v>292</v>
      </c>
      <c r="E1890" s="560">
        <v>112</v>
      </c>
      <c r="F1890" s="560">
        <v>2</v>
      </c>
      <c r="G1890" s="560" t="s">
        <v>286</v>
      </c>
      <c r="H1890" s="566">
        <v>3.1416549789621318</v>
      </c>
      <c r="I1890" s="567" t="s">
        <v>288</v>
      </c>
      <c r="J1890" s="568" t="s">
        <v>288</v>
      </c>
      <c r="L1890" s="373">
        <v>1</v>
      </c>
    </row>
    <row r="1891" spans="1:12">
      <c r="A1891" s="565">
        <v>1886</v>
      </c>
      <c r="B1891" s="560" t="s">
        <v>278</v>
      </c>
      <c r="C1891" s="560" t="s">
        <v>531</v>
      </c>
      <c r="D1891" s="560" t="s">
        <v>290</v>
      </c>
      <c r="E1891" s="560">
        <v>132</v>
      </c>
      <c r="F1891" s="560">
        <v>3</v>
      </c>
      <c r="G1891" s="560" t="s">
        <v>286</v>
      </c>
      <c r="H1891" s="566">
        <v>3.7026647966339414</v>
      </c>
      <c r="I1891" s="567" t="s">
        <v>288</v>
      </c>
      <c r="J1891" s="568" t="s">
        <v>288</v>
      </c>
      <c r="L1891" s="373">
        <v>1</v>
      </c>
    </row>
    <row r="1892" spans="1:12" ht="21">
      <c r="A1892" s="565">
        <v>1887</v>
      </c>
      <c r="B1892" s="560" t="s">
        <v>278</v>
      </c>
      <c r="C1892" s="560" t="s">
        <v>531</v>
      </c>
      <c r="D1892" s="560" t="s">
        <v>291</v>
      </c>
      <c r="E1892" s="560">
        <v>119</v>
      </c>
      <c r="F1892" s="560">
        <v>3</v>
      </c>
      <c r="G1892" s="560" t="s">
        <v>286</v>
      </c>
      <c r="H1892" s="566">
        <v>3.3380084151472653</v>
      </c>
      <c r="I1892" s="567" t="s">
        <v>489</v>
      </c>
      <c r="J1892" s="568" t="s">
        <v>288</v>
      </c>
      <c r="L1892" s="373">
        <v>1</v>
      </c>
    </row>
    <row r="1893" spans="1:12">
      <c r="A1893" s="565">
        <v>1888</v>
      </c>
      <c r="B1893" s="560" t="s">
        <v>278</v>
      </c>
      <c r="C1893" s="560" t="s">
        <v>531</v>
      </c>
      <c r="D1893" s="560" t="s">
        <v>532</v>
      </c>
      <c r="E1893" s="560">
        <v>106</v>
      </c>
      <c r="F1893" s="560">
        <v>3</v>
      </c>
      <c r="G1893" s="560" t="s">
        <v>286</v>
      </c>
      <c r="H1893" s="566">
        <v>2.9733520336605892</v>
      </c>
      <c r="I1893" s="567" t="s">
        <v>288</v>
      </c>
      <c r="J1893" s="568" t="s">
        <v>288</v>
      </c>
      <c r="L1893" s="373">
        <v>1</v>
      </c>
    </row>
    <row r="1894" spans="1:12" ht="21">
      <c r="A1894" s="565">
        <v>1889</v>
      </c>
      <c r="B1894" s="560" t="s">
        <v>278</v>
      </c>
      <c r="C1894" s="560" t="s">
        <v>531</v>
      </c>
      <c r="D1894" s="560" t="s">
        <v>507</v>
      </c>
      <c r="E1894" s="560">
        <v>93</v>
      </c>
      <c r="F1894" s="560">
        <v>3</v>
      </c>
      <c r="G1894" s="560" t="s">
        <v>286</v>
      </c>
      <c r="H1894" s="566">
        <v>2.6086956521739131</v>
      </c>
      <c r="I1894" s="567" t="s">
        <v>489</v>
      </c>
      <c r="J1894" s="568" t="s">
        <v>288</v>
      </c>
      <c r="L1894" s="373">
        <v>1</v>
      </c>
    </row>
    <row r="1895" spans="1:12">
      <c r="A1895" s="565">
        <v>1890</v>
      </c>
      <c r="B1895" s="560" t="s">
        <v>278</v>
      </c>
      <c r="C1895" s="560" t="s">
        <v>531</v>
      </c>
      <c r="D1895" s="560" t="s">
        <v>532</v>
      </c>
      <c r="E1895" s="560">
        <v>80</v>
      </c>
      <c r="F1895" s="560">
        <v>3</v>
      </c>
      <c r="G1895" s="560" t="s">
        <v>286</v>
      </c>
      <c r="H1895" s="566">
        <v>2.244039270687237</v>
      </c>
      <c r="I1895" s="567" t="s">
        <v>288</v>
      </c>
      <c r="J1895" s="568" t="s">
        <v>288</v>
      </c>
      <c r="L1895" s="373">
        <v>1</v>
      </c>
    </row>
    <row r="1896" spans="1:12" ht="21">
      <c r="A1896" s="565">
        <v>1891</v>
      </c>
      <c r="B1896" s="560" t="s">
        <v>278</v>
      </c>
      <c r="C1896" s="560" t="s">
        <v>531</v>
      </c>
      <c r="D1896" s="560" t="s">
        <v>507</v>
      </c>
      <c r="E1896" s="560">
        <v>67</v>
      </c>
      <c r="F1896" s="560">
        <v>3</v>
      </c>
      <c r="G1896" s="560" t="s">
        <v>286</v>
      </c>
      <c r="H1896" s="566">
        <v>1.8793828892005611</v>
      </c>
      <c r="I1896" s="567" t="s">
        <v>489</v>
      </c>
      <c r="J1896" s="568" t="s">
        <v>288</v>
      </c>
      <c r="L1896" s="373">
        <v>1</v>
      </c>
    </row>
    <row r="1897" spans="1:12">
      <c r="A1897" s="565">
        <v>1892</v>
      </c>
      <c r="B1897" s="560" t="s">
        <v>278</v>
      </c>
      <c r="C1897" s="560" t="s">
        <v>534</v>
      </c>
      <c r="D1897" s="560" t="s">
        <v>290</v>
      </c>
      <c r="E1897" s="560">
        <v>97</v>
      </c>
      <c r="F1897" s="560">
        <v>2</v>
      </c>
      <c r="G1897" s="560" t="s">
        <v>286</v>
      </c>
      <c r="H1897" s="566">
        <v>2.7208976157082749</v>
      </c>
      <c r="I1897" s="567" t="s">
        <v>288</v>
      </c>
      <c r="J1897" s="568" t="s">
        <v>288</v>
      </c>
      <c r="L1897" s="373">
        <v>1</v>
      </c>
    </row>
    <row r="1898" spans="1:12">
      <c r="A1898" s="565">
        <v>1893</v>
      </c>
      <c r="B1898" s="560" t="s">
        <v>278</v>
      </c>
      <c r="C1898" s="560" t="s">
        <v>534</v>
      </c>
      <c r="D1898" s="560" t="s">
        <v>291</v>
      </c>
      <c r="E1898" s="560">
        <v>111</v>
      </c>
      <c r="F1898" s="560">
        <v>4</v>
      </c>
      <c r="G1898" s="560" t="s">
        <v>286</v>
      </c>
      <c r="H1898" s="566">
        <v>3.1136044880785416</v>
      </c>
      <c r="I1898" s="567" t="s">
        <v>464</v>
      </c>
      <c r="J1898" s="568" t="s">
        <v>288</v>
      </c>
      <c r="L1898" s="373">
        <v>1</v>
      </c>
    </row>
    <row r="1899" spans="1:12" ht="21">
      <c r="A1899" s="565">
        <v>1894</v>
      </c>
      <c r="B1899" s="560" t="s">
        <v>278</v>
      </c>
      <c r="C1899" s="560" t="s">
        <v>534</v>
      </c>
      <c r="D1899" s="560" t="s">
        <v>292</v>
      </c>
      <c r="E1899" s="560">
        <v>147</v>
      </c>
      <c r="F1899" s="560">
        <v>3</v>
      </c>
      <c r="G1899" s="560" t="s">
        <v>286</v>
      </c>
      <c r="H1899" s="566">
        <v>4.1234221598877978</v>
      </c>
      <c r="I1899" s="567" t="s">
        <v>464</v>
      </c>
      <c r="J1899" s="568" t="s">
        <v>506</v>
      </c>
      <c r="L1899" s="373">
        <v>1</v>
      </c>
    </row>
    <row r="1900" spans="1:12">
      <c r="A1900" s="565">
        <v>1895</v>
      </c>
      <c r="B1900" s="560" t="s">
        <v>278</v>
      </c>
      <c r="C1900" s="560" t="s">
        <v>534</v>
      </c>
      <c r="D1900" s="560" t="s">
        <v>290</v>
      </c>
      <c r="E1900" s="560">
        <v>110</v>
      </c>
      <c r="F1900" s="560">
        <v>2</v>
      </c>
      <c r="G1900" s="560" t="s">
        <v>286</v>
      </c>
      <c r="H1900" s="566">
        <v>3.085553997194951</v>
      </c>
      <c r="I1900" s="567" t="s">
        <v>288</v>
      </c>
      <c r="J1900" s="568" t="s">
        <v>288</v>
      </c>
      <c r="L1900" s="373">
        <v>1</v>
      </c>
    </row>
    <row r="1901" spans="1:12">
      <c r="A1901" s="565">
        <v>1896</v>
      </c>
      <c r="B1901" s="560" t="s">
        <v>278</v>
      </c>
      <c r="C1901" s="560" t="s">
        <v>534</v>
      </c>
      <c r="D1901" s="560" t="s">
        <v>291</v>
      </c>
      <c r="E1901" s="560">
        <v>143</v>
      </c>
      <c r="F1901" s="560">
        <v>3</v>
      </c>
      <c r="G1901" s="560" t="s">
        <v>286</v>
      </c>
      <c r="H1901" s="566">
        <v>4.0112201963534364</v>
      </c>
      <c r="I1901" s="567" t="s">
        <v>499</v>
      </c>
      <c r="J1901" s="568" t="s">
        <v>288</v>
      </c>
      <c r="L1901" s="373">
        <v>1</v>
      </c>
    </row>
    <row r="1902" spans="1:12" ht="21">
      <c r="A1902" s="565">
        <v>1897</v>
      </c>
      <c r="B1902" s="560" t="s">
        <v>278</v>
      </c>
      <c r="C1902" s="560" t="s">
        <v>538</v>
      </c>
      <c r="D1902" s="560" t="s">
        <v>293</v>
      </c>
      <c r="E1902" s="560">
        <v>136</v>
      </c>
      <c r="F1902" s="560">
        <v>4</v>
      </c>
      <c r="G1902" s="560" t="s">
        <v>286</v>
      </c>
      <c r="H1902" s="566">
        <v>3.8148667601683033</v>
      </c>
      <c r="I1902" s="567" t="s">
        <v>489</v>
      </c>
      <c r="J1902" s="568" t="s">
        <v>474</v>
      </c>
      <c r="L1902" s="373">
        <v>1</v>
      </c>
    </row>
    <row r="1903" spans="1:12" ht="21">
      <c r="A1903" s="565">
        <v>1898</v>
      </c>
      <c r="B1903" s="560" t="s">
        <v>278</v>
      </c>
      <c r="C1903" s="560" t="s">
        <v>538</v>
      </c>
      <c r="D1903" s="560" t="s">
        <v>291</v>
      </c>
      <c r="E1903" s="560">
        <v>162</v>
      </c>
      <c r="F1903" s="560">
        <v>5</v>
      </c>
      <c r="G1903" s="560" t="s">
        <v>286</v>
      </c>
      <c r="H1903" s="566">
        <v>4.5441795231416551</v>
      </c>
      <c r="I1903" s="567" t="s">
        <v>489</v>
      </c>
      <c r="J1903" s="568" t="s">
        <v>288</v>
      </c>
      <c r="L1903" s="373">
        <v>1</v>
      </c>
    </row>
    <row r="1904" spans="1:12">
      <c r="A1904" s="565">
        <v>1899</v>
      </c>
      <c r="B1904" s="560" t="s">
        <v>278</v>
      </c>
      <c r="C1904" s="560" t="s">
        <v>538</v>
      </c>
      <c r="D1904" s="560" t="s">
        <v>292</v>
      </c>
      <c r="E1904" s="560">
        <v>112</v>
      </c>
      <c r="F1904" s="560">
        <v>2</v>
      </c>
      <c r="G1904" s="560" t="s">
        <v>286</v>
      </c>
      <c r="H1904" s="566">
        <v>3.1416549789621318</v>
      </c>
      <c r="I1904" s="567" t="s">
        <v>288</v>
      </c>
      <c r="J1904" s="568" t="s">
        <v>288</v>
      </c>
      <c r="L1904" s="373">
        <v>1</v>
      </c>
    </row>
    <row r="1905" spans="1:12">
      <c r="A1905" s="565">
        <v>1900</v>
      </c>
      <c r="B1905" s="560" t="s">
        <v>278</v>
      </c>
      <c r="C1905" s="560" t="s">
        <v>538</v>
      </c>
      <c r="D1905" s="560" t="s">
        <v>291</v>
      </c>
      <c r="E1905" s="560">
        <v>143</v>
      </c>
      <c r="F1905" s="560">
        <v>3</v>
      </c>
      <c r="G1905" s="560" t="s">
        <v>286</v>
      </c>
      <c r="H1905" s="566">
        <v>4.0112201963534364</v>
      </c>
      <c r="I1905" s="567" t="s">
        <v>464</v>
      </c>
      <c r="J1905" s="568" t="s">
        <v>288</v>
      </c>
      <c r="L1905" s="373">
        <v>1</v>
      </c>
    </row>
    <row r="1906" spans="1:12">
      <c r="A1906" s="565">
        <v>1901</v>
      </c>
      <c r="B1906" s="560" t="s">
        <v>278</v>
      </c>
      <c r="C1906" s="560" t="s">
        <v>538</v>
      </c>
      <c r="D1906" s="560" t="s">
        <v>291</v>
      </c>
      <c r="E1906" s="560">
        <v>158</v>
      </c>
      <c r="F1906" s="560">
        <v>5</v>
      </c>
      <c r="G1906" s="560" t="s">
        <v>286</v>
      </c>
      <c r="H1906" s="566">
        <v>4.4319775596072937</v>
      </c>
      <c r="I1906" s="567" t="s">
        <v>499</v>
      </c>
      <c r="J1906" s="568" t="s">
        <v>288</v>
      </c>
      <c r="L1906" s="373">
        <v>1</v>
      </c>
    </row>
    <row r="1907" spans="1:12">
      <c r="A1907" s="565">
        <v>1902</v>
      </c>
      <c r="B1907" s="560" t="s">
        <v>278</v>
      </c>
      <c r="C1907" s="560" t="s">
        <v>538</v>
      </c>
      <c r="D1907" s="560" t="s">
        <v>292</v>
      </c>
      <c r="E1907" s="560">
        <v>115</v>
      </c>
      <c r="F1907" s="560">
        <v>3</v>
      </c>
      <c r="G1907" s="560" t="s">
        <v>286</v>
      </c>
      <c r="H1907" s="566">
        <v>3.2258064516129035</v>
      </c>
      <c r="I1907" s="567" t="s">
        <v>464</v>
      </c>
      <c r="J1907" s="568" t="s">
        <v>288</v>
      </c>
      <c r="L1907" s="373">
        <v>1</v>
      </c>
    </row>
    <row r="1908" spans="1:12">
      <c r="A1908" s="565">
        <v>1903</v>
      </c>
      <c r="B1908" s="560" t="s">
        <v>278</v>
      </c>
      <c r="C1908" s="560" t="s">
        <v>538</v>
      </c>
      <c r="D1908" s="560" t="s">
        <v>291</v>
      </c>
      <c r="E1908" s="560">
        <v>133</v>
      </c>
      <c r="F1908" s="560">
        <v>3</v>
      </c>
      <c r="G1908" s="560" t="s">
        <v>286</v>
      </c>
      <c r="H1908" s="566">
        <v>3.7307152875175316</v>
      </c>
      <c r="I1908" s="567" t="s">
        <v>288</v>
      </c>
      <c r="J1908" s="568" t="s">
        <v>288</v>
      </c>
      <c r="L1908" s="373">
        <v>1</v>
      </c>
    </row>
    <row r="1909" spans="1:12">
      <c r="A1909" s="565">
        <v>1904</v>
      </c>
      <c r="B1909" s="560" t="s">
        <v>278</v>
      </c>
      <c r="C1909" s="560" t="s">
        <v>538</v>
      </c>
      <c r="D1909" s="560" t="s">
        <v>291</v>
      </c>
      <c r="E1909" s="560">
        <v>142</v>
      </c>
      <c r="F1909" s="560">
        <v>4</v>
      </c>
      <c r="G1909" s="560" t="s">
        <v>115</v>
      </c>
      <c r="H1909" s="566">
        <v>0</v>
      </c>
      <c r="I1909" s="567" t="s">
        <v>464</v>
      </c>
      <c r="J1909" s="568" t="s">
        <v>288</v>
      </c>
      <c r="L1909" s="373">
        <v>1</v>
      </c>
    </row>
    <row r="1910" spans="1:12">
      <c r="A1910" s="565">
        <v>1905</v>
      </c>
      <c r="B1910" s="560" t="s">
        <v>278</v>
      </c>
      <c r="C1910" s="560" t="s">
        <v>538</v>
      </c>
      <c r="D1910" s="560" t="s">
        <v>292</v>
      </c>
      <c r="E1910" s="560">
        <v>156</v>
      </c>
      <c r="F1910" s="560">
        <v>5</v>
      </c>
      <c r="G1910" s="560" t="s">
        <v>115</v>
      </c>
      <c r="H1910" s="566">
        <v>0</v>
      </c>
      <c r="I1910" s="567" t="s">
        <v>288</v>
      </c>
      <c r="J1910" s="568" t="s">
        <v>288</v>
      </c>
      <c r="L1910" s="373">
        <v>1</v>
      </c>
    </row>
    <row r="1911" spans="1:12" ht="21">
      <c r="A1911" s="565">
        <v>1906</v>
      </c>
      <c r="B1911" s="560" t="s">
        <v>278</v>
      </c>
      <c r="C1911" s="560" t="s">
        <v>538</v>
      </c>
      <c r="D1911" s="560" t="s">
        <v>291</v>
      </c>
      <c r="E1911" s="560">
        <v>168</v>
      </c>
      <c r="F1911" s="560">
        <v>7</v>
      </c>
      <c r="G1911" s="560" t="s">
        <v>286</v>
      </c>
      <c r="H1911" s="566">
        <v>4.7124824684431976</v>
      </c>
      <c r="I1911" s="567" t="s">
        <v>464</v>
      </c>
      <c r="J1911" s="568" t="s">
        <v>506</v>
      </c>
      <c r="L1911" s="373">
        <v>1</v>
      </c>
    </row>
    <row r="1912" spans="1:12">
      <c r="A1912" s="565">
        <v>1907</v>
      </c>
      <c r="B1912" s="560" t="s">
        <v>278</v>
      </c>
      <c r="C1912" s="560" t="s">
        <v>538</v>
      </c>
      <c r="D1912" s="560" t="s">
        <v>292</v>
      </c>
      <c r="E1912" s="560">
        <v>157</v>
      </c>
      <c r="F1912" s="560">
        <v>6</v>
      </c>
      <c r="G1912" s="560" t="s">
        <v>286</v>
      </c>
      <c r="H1912" s="566">
        <v>4.4039270687237027</v>
      </c>
      <c r="I1912" s="567" t="s">
        <v>464</v>
      </c>
      <c r="J1912" s="568" t="s">
        <v>288</v>
      </c>
      <c r="L1912" s="373">
        <v>1</v>
      </c>
    </row>
    <row r="1913" spans="1:12">
      <c r="A1913" s="565">
        <v>1908</v>
      </c>
      <c r="B1913" s="560" t="s">
        <v>278</v>
      </c>
      <c r="C1913" s="560" t="s">
        <v>538</v>
      </c>
      <c r="D1913" s="560" t="s">
        <v>291</v>
      </c>
      <c r="E1913" s="560">
        <v>152</v>
      </c>
      <c r="F1913" s="560">
        <v>5</v>
      </c>
      <c r="G1913" s="560" t="s">
        <v>286</v>
      </c>
      <c r="H1913" s="566">
        <v>4.2636746143057502</v>
      </c>
      <c r="I1913" s="567" t="s">
        <v>499</v>
      </c>
      <c r="J1913" s="568" t="s">
        <v>288</v>
      </c>
      <c r="L1913" s="373">
        <v>1</v>
      </c>
    </row>
    <row r="1914" spans="1:12">
      <c r="A1914" s="565">
        <v>1909</v>
      </c>
      <c r="B1914" s="560" t="s">
        <v>278</v>
      </c>
      <c r="C1914" s="560" t="s">
        <v>538</v>
      </c>
      <c r="D1914" s="560" t="s">
        <v>292</v>
      </c>
      <c r="E1914" s="560">
        <v>141</v>
      </c>
      <c r="F1914" s="560">
        <v>4</v>
      </c>
      <c r="G1914" s="560" t="s">
        <v>286</v>
      </c>
      <c r="H1914" s="566">
        <v>3.9551192145862553</v>
      </c>
      <c r="I1914" s="567" t="s">
        <v>464</v>
      </c>
      <c r="J1914" s="568" t="s">
        <v>288</v>
      </c>
      <c r="L1914" s="373">
        <v>1</v>
      </c>
    </row>
    <row r="1915" spans="1:12">
      <c r="A1915" s="565">
        <v>1910</v>
      </c>
      <c r="B1915" s="560" t="s">
        <v>278</v>
      </c>
      <c r="C1915" s="560" t="s">
        <v>538</v>
      </c>
      <c r="D1915" s="560" t="s">
        <v>292</v>
      </c>
      <c r="E1915" s="560">
        <v>138</v>
      </c>
      <c r="F1915" s="560">
        <v>3</v>
      </c>
      <c r="G1915" s="560" t="s">
        <v>286</v>
      </c>
      <c r="H1915" s="566">
        <v>3.870967741935484</v>
      </c>
      <c r="I1915" s="567" t="s">
        <v>464</v>
      </c>
      <c r="J1915" s="568" t="s">
        <v>288</v>
      </c>
      <c r="L1915" s="373">
        <v>1</v>
      </c>
    </row>
    <row r="1916" spans="1:12">
      <c r="A1916" s="565">
        <v>1911</v>
      </c>
      <c r="B1916" s="560" t="s">
        <v>278</v>
      </c>
      <c r="C1916" s="560" t="s">
        <v>531</v>
      </c>
      <c r="D1916" s="560" t="s">
        <v>292</v>
      </c>
      <c r="E1916" s="560">
        <v>147</v>
      </c>
      <c r="F1916" s="560">
        <v>5</v>
      </c>
      <c r="G1916" s="560" t="s">
        <v>286</v>
      </c>
      <c r="H1916" s="566">
        <v>4.1234221598877978</v>
      </c>
      <c r="I1916" s="567" t="s">
        <v>288</v>
      </c>
      <c r="J1916" s="568" t="s">
        <v>288</v>
      </c>
      <c r="L1916" s="373">
        <v>1</v>
      </c>
    </row>
    <row r="1917" spans="1:12">
      <c r="A1917" s="565">
        <v>1912</v>
      </c>
      <c r="B1917" s="560" t="s">
        <v>278</v>
      </c>
      <c r="C1917" s="560" t="s">
        <v>531</v>
      </c>
      <c r="D1917" s="560" t="s">
        <v>291</v>
      </c>
      <c r="E1917" s="560">
        <v>110</v>
      </c>
      <c r="F1917" s="560">
        <v>2</v>
      </c>
      <c r="G1917" s="560" t="s">
        <v>286</v>
      </c>
      <c r="H1917" s="566">
        <v>3.085553997194951</v>
      </c>
      <c r="I1917" s="567" t="s">
        <v>464</v>
      </c>
      <c r="J1917" s="568" t="s">
        <v>288</v>
      </c>
      <c r="L1917" s="373">
        <v>1</v>
      </c>
    </row>
    <row r="1918" spans="1:12">
      <c r="A1918" s="565">
        <v>1913</v>
      </c>
      <c r="B1918" s="560" t="s">
        <v>278</v>
      </c>
      <c r="C1918" s="560" t="s">
        <v>537</v>
      </c>
      <c r="D1918" s="560" t="s">
        <v>291</v>
      </c>
      <c r="E1918" s="560">
        <v>196</v>
      </c>
      <c r="F1918" s="560">
        <v>8</v>
      </c>
      <c r="G1918" s="560" t="s">
        <v>286</v>
      </c>
      <c r="H1918" s="566">
        <v>5.497896213183731</v>
      </c>
      <c r="I1918" s="567" t="s">
        <v>499</v>
      </c>
      <c r="J1918" s="568" t="s">
        <v>500</v>
      </c>
      <c r="L1918" s="373">
        <v>1</v>
      </c>
    </row>
    <row r="1919" spans="1:12">
      <c r="A1919" s="565">
        <v>1914</v>
      </c>
      <c r="B1919" s="560" t="s">
        <v>278</v>
      </c>
      <c r="C1919" s="560" t="s">
        <v>537</v>
      </c>
      <c r="D1919" s="560" t="s">
        <v>291</v>
      </c>
      <c r="E1919" s="560">
        <v>137</v>
      </c>
      <c r="F1919" s="560">
        <v>3</v>
      </c>
      <c r="G1919" s="560" t="s">
        <v>286</v>
      </c>
      <c r="H1919" s="566">
        <v>3.8429172510518934</v>
      </c>
      <c r="I1919" s="567" t="s">
        <v>499</v>
      </c>
      <c r="J1919" s="568" t="s">
        <v>288</v>
      </c>
      <c r="L1919" s="373">
        <v>1</v>
      </c>
    </row>
    <row r="1920" spans="1:12">
      <c r="A1920" s="565">
        <v>1915</v>
      </c>
      <c r="B1920" s="560" t="s">
        <v>278</v>
      </c>
      <c r="C1920" s="560" t="s">
        <v>537</v>
      </c>
      <c r="D1920" s="560" t="s">
        <v>291</v>
      </c>
      <c r="E1920" s="560">
        <v>158</v>
      </c>
      <c r="F1920" s="560">
        <v>6</v>
      </c>
      <c r="G1920" s="560" t="s">
        <v>286</v>
      </c>
      <c r="H1920" s="566">
        <v>4.4319775596072937</v>
      </c>
      <c r="I1920" s="567" t="s">
        <v>288</v>
      </c>
      <c r="J1920" s="568" t="s">
        <v>288</v>
      </c>
      <c r="L1920" s="373">
        <v>1</v>
      </c>
    </row>
    <row r="1921" spans="1:12">
      <c r="A1921" s="565">
        <v>1916</v>
      </c>
      <c r="B1921" s="560" t="s">
        <v>278</v>
      </c>
      <c r="C1921" s="560" t="s">
        <v>537</v>
      </c>
      <c r="D1921" s="560" t="s">
        <v>291</v>
      </c>
      <c r="E1921" s="560">
        <v>129</v>
      </c>
      <c r="F1921" s="560">
        <v>3</v>
      </c>
      <c r="G1921" s="560" t="s">
        <v>286</v>
      </c>
      <c r="H1921" s="566">
        <v>3.6185133239831697</v>
      </c>
      <c r="I1921" s="567" t="s">
        <v>464</v>
      </c>
      <c r="J1921" s="568" t="s">
        <v>288</v>
      </c>
      <c r="L1921" s="373">
        <v>1</v>
      </c>
    </row>
    <row r="1922" spans="1:12">
      <c r="A1922" s="565">
        <v>1917</v>
      </c>
      <c r="B1922" s="560" t="s">
        <v>278</v>
      </c>
      <c r="C1922" s="560" t="s">
        <v>537</v>
      </c>
      <c r="D1922" s="560" t="s">
        <v>292</v>
      </c>
      <c r="E1922" s="560">
        <v>122</v>
      </c>
      <c r="F1922" s="560">
        <v>3</v>
      </c>
      <c r="G1922" s="560" t="s">
        <v>286</v>
      </c>
      <c r="H1922" s="566">
        <v>3.4221598877980366</v>
      </c>
      <c r="I1922" s="567" t="s">
        <v>288</v>
      </c>
      <c r="J1922" s="568" t="s">
        <v>288</v>
      </c>
      <c r="L1922" s="373">
        <v>1</v>
      </c>
    </row>
    <row r="1923" spans="1:12">
      <c r="A1923" s="565">
        <v>1918</v>
      </c>
      <c r="B1923" s="560" t="s">
        <v>278</v>
      </c>
      <c r="C1923" s="560" t="s">
        <v>537</v>
      </c>
      <c r="D1923" s="560" t="s">
        <v>292</v>
      </c>
      <c r="E1923" s="560">
        <v>143</v>
      </c>
      <c r="F1923" s="560">
        <v>5</v>
      </c>
      <c r="G1923" s="560" t="s">
        <v>286</v>
      </c>
      <c r="H1923" s="566">
        <v>4.0112201963534364</v>
      </c>
      <c r="I1923" s="567" t="s">
        <v>288</v>
      </c>
      <c r="J1923" s="568" t="s">
        <v>288</v>
      </c>
      <c r="L1923" s="373">
        <v>1</v>
      </c>
    </row>
    <row r="1924" spans="1:12">
      <c r="A1924" s="565">
        <v>1919</v>
      </c>
      <c r="B1924" s="560" t="s">
        <v>278</v>
      </c>
      <c r="C1924" s="560" t="s">
        <v>537</v>
      </c>
      <c r="D1924" s="560" t="s">
        <v>291</v>
      </c>
      <c r="E1924" s="560">
        <v>183</v>
      </c>
      <c r="F1924" s="560">
        <v>7</v>
      </c>
      <c r="G1924" s="560" t="s">
        <v>286</v>
      </c>
      <c r="H1924" s="566">
        <v>5.1332398316970549</v>
      </c>
      <c r="I1924" s="567" t="s">
        <v>464</v>
      </c>
      <c r="J1924" s="568" t="s">
        <v>288</v>
      </c>
      <c r="L1924" s="373">
        <v>1</v>
      </c>
    </row>
    <row r="1925" spans="1:12" ht="21">
      <c r="A1925" s="565">
        <v>1920</v>
      </c>
      <c r="B1925" s="560" t="s">
        <v>278</v>
      </c>
      <c r="C1925" s="560" t="s">
        <v>537</v>
      </c>
      <c r="D1925" s="560" t="s">
        <v>291</v>
      </c>
      <c r="E1925" s="560">
        <v>127</v>
      </c>
      <c r="F1925" s="560">
        <v>4</v>
      </c>
      <c r="G1925" s="560" t="s">
        <v>286</v>
      </c>
      <c r="H1925" s="566">
        <v>3.562412342215989</v>
      </c>
      <c r="I1925" s="567" t="s">
        <v>464</v>
      </c>
      <c r="J1925" s="568" t="s">
        <v>506</v>
      </c>
      <c r="L1925" s="373">
        <v>1</v>
      </c>
    </row>
    <row r="1926" spans="1:12">
      <c r="A1926" s="565">
        <v>1921</v>
      </c>
      <c r="B1926" s="560" t="s">
        <v>278</v>
      </c>
      <c r="C1926" s="560" t="s">
        <v>537</v>
      </c>
      <c r="D1926" s="560" t="s">
        <v>291</v>
      </c>
      <c r="E1926" s="560">
        <v>152</v>
      </c>
      <c r="F1926" s="560">
        <v>5</v>
      </c>
      <c r="G1926" s="560" t="s">
        <v>286</v>
      </c>
      <c r="H1926" s="566">
        <v>4.2636746143057502</v>
      </c>
      <c r="I1926" s="567" t="s">
        <v>288</v>
      </c>
      <c r="J1926" s="568" t="s">
        <v>288</v>
      </c>
      <c r="L1926" s="373">
        <v>1</v>
      </c>
    </row>
    <row r="1927" spans="1:12">
      <c r="A1927" s="565">
        <v>1922</v>
      </c>
      <c r="B1927" s="560" t="s">
        <v>278</v>
      </c>
      <c r="C1927" s="560" t="s">
        <v>537</v>
      </c>
      <c r="D1927" s="560" t="s">
        <v>292</v>
      </c>
      <c r="E1927" s="560">
        <v>98</v>
      </c>
      <c r="F1927" s="560">
        <v>3</v>
      </c>
      <c r="G1927" s="560" t="s">
        <v>286</v>
      </c>
      <c r="H1927" s="566">
        <v>2.7489481065918655</v>
      </c>
      <c r="I1927" s="567" t="s">
        <v>288</v>
      </c>
      <c r="J1927" s="568" t="s">
        <v>288</v>
      </c>
      <c r="L1927" s="373">
        <v>1</v>
      </c>
    </row>
    <row r="1928" spans="1:12">
      <c r="A1928" s="565">
        <v>1923</v>
      </c>
      <c r="B1928" s="560" t="s">
        <v>278</v>
      </c>
      <c r="C1928" s="560" t="s">
        <v>537</v>
      </c>
      <c r="D1928" s="560" t="s">
        <v>292</v>
      </c>
      <c r="E1928" s="560">
        <v>112</v>
      </c>
      <c r="F1928" s="560">
        <v>2</v>
      </c>
      <c r="G1928" s="560" t="s">
        <v>286</v>
      </c>
      <c r="H1928" s="566">
        <v>3.1416549789621318</v>
      </c>
      <c r="I1928" s="567" t="s">
        <v>288</v>
      </c>
      <c r="J1928" s="568" t="s">
        <v>288</v>
      </c>
      <c r="L1928" s="373">
        <v>1</v>
      </c>
    </row>
    <row r="1929" spans="1:12">
      <c r="A1929" s="565">
        <v>1924</v>
      </c>
      <c r="B1929" s="560" t="s">
        <v>278</v>
      </c>
      <c r="C1929" s="560" t="s">
        <v>537</v>
      </c>
      <c r="D1929" s="560" t="s">
        <v>290</v>
      </c>
      <c r="E1929" s="560">
        <v>132</v>
      </c>
      <c r="F1929" s="560">
        <v>3</v>
      </c>
      <c r="G1929" s="560" t="s">
        <v>286</v>
      </c>
      <c r="H1929" s="566">
        <v>3.7026647966339414</v>
      </c>
      <c r="I1929" s="567" t="s">
        <v>288</v>
      </c>
      <c r="J1929" s="568" t="s">
        <v>288</v>
      </c>
      <c r="L1929" s="373">
        <v>1</v>
      </c>
    </row>
    <row r="1930" spans="1:12" ht="21">
      <c r="A1930" s="565">
        <v>1925</v>
      </c>
      <c r="B1930" s="560" t="s">
        <v>278</v>
      </c>
      <c r="C1930" s="560" t="s">
        <v>537</v>
      </c>
      <c r="D1930" s="560" t="s">
        <v>291</v>
      </c>
      <c r="E1930" s="560">
        <v>119</v>
      </c>
      <c r="F1930" s="560">
        <v>3</v>
      </c>
      <c r="G1930" s="560" t="s">
        <v>286</v>
      </c>
      <c r="H1930" s="566">
        <v>3.3380084151472653</v>
      </c>
      <c r="I1930" s="567" t="s">
        <v>489</v>
      </c>
      <c r="J1930" s="568" t="s">
        <v>288</v>
      </c>
      <c r="L1930" s="373">
        <v>1</v>
      </c>
    </row>
    <row r="1931" spans="1:12">
      <c r="A1931" s="565">
        <v>1926</v>
      </c>
      <c r="B1931" s="560" t="s">
        <v>278</v>
      </c>
      <c r="C1931" s="560" t="s">
        <v>537</v>
      </c>
      <c r="D1931" s="560" t="s">
        <v>532</v>
      </c>
      <c r="E1931" s="560">
        <v>106</v>
      </c>
      <c r="F1931" s="560">
        <v>3</v>
      </c>
      <c r="G1931" s="560" t="s">
        <v>286</v>
      </c>
      <c r="H1931" s="566">
        <v>2.9733520336605892</v>
      </c>
      <c r="I1931" s="567" t="s">
        <v>288</v>
      </c>
      <c r="J1931" s="568" t="s">
        <v>288</v>
      </c>
      <c r="L1931" s="373">
        <v>1</v>
      </c>
    </row>
    <row r="1932" spans="1:12" ht="21">
      <c r="A1932" s="565">
        <v>1927</v>
      </c>
      <c r="B1932" s="560" t="s">
        <v>278</v>
      </c>
      <c r="C1932" s="560" t="s">
        <v>537</v>
      </c>
      <c r="D1932" s="560" t="s">
        <v>507</v>
      </c>
      <c r="E1932" s="560">
        <v>93</v>
      </c>
      <c r="F1932" s="560">
        <v>3</v>
      </c>
      <c r="G1932" s="560" t="s">
        <v>286</v>
      </c>
      <c r="H1932" s="566">
        <v>2.6086956521739131</v>
      </c>
      <c r="I1932" s="567" t="s">
        <v>489</v>
      </c>
      <c r="J1932" s="568" t="s">
        <v>288</v>
      </c>
      <c r="L1932" s="373">
        <v>1</v>
      </c>
    </row>
    <row r="1933" spans="1:12">
      <c r="A1933" s="565">
        <v>1928</v>
      </c>
      <c r="B1933" s="560" t="s">
        <v>278</v>
      </c>
      <c r="C1933" s="560" t="s">
        <v>537</v>
      </c>
      <c r="D1933" s="560" t="s">
        <v>532</v>
      </c>
      <c r="E1933" s="560">
        <v>80</v>
      </c>
      <c r="F1933" s="560">
        <v>3</v>
      </c>
      <c r="G1933" s="560" t="s">
        <v>286</v>
      </c>
      <c r="H1933" s="566">
        <v>2.244039270687237</v>
      </c>
      <c r="I1933" s="567" t="s">
        <v>288</v>
      </c>
      <c r="J1933" s="568" t="s">
        <v>288</v>
      </c>
      <c r="L1933" s="373">
        <v>1</v>
      </c>
    </row>
    <row r="1934" spans="1:12" ht="21">
      <c r="A1934" s="565">
        <v>1929</v>
      </c>
      <c r="B1934" s="560" t="s">
        <v>278</v>
      </c>
      <c r="C1934" s="560" t="s">
        <v>537</v>
      </c>
      <c r="D1934" s="560" t="s">
        <v>507</v>
      </c>
      <c r="E1934" s="560">
        <v>67</v>
      </c>
      <c r="F1934" s="560">
        <v>3</v>
      </c>
      <c r="G1934" s="560" t="s">
        <v>286</v>
      </c>
      <c r="H1934" s="566">
        <v>1.8793828892005611</v>
      </c>
      <c r="I1934" s="567" t="s">
        <v>489</v>
      </c>
      <c r="J1934" s="568" t="s">
        <v>288</v>
      </c>
      <c r="L1934" s="373">
        <v>1</v>
      </c>
    </row>
    <row r="1935" spans="1:12">
      <c r="A1935" s="565">
        <v>1930</v>
      </c>
      <c r="B1935" s="560" t="s">
        <v>278</v>
      </c>
      <c r="C1935" s="560" t="s">
        <v>537</v>
      </c>
      <c r="D1935" s="560" t="s">
        <v>290</v>
      </c>
      <c r="E1935" s="560">
        <v>97</v>
      </c>
      <c r="F1935" s="560">
        <v>2</v>
      </c>
      <c r="G1935" s="560" t="s">
        <v>286</v>
      </c>
      <c r="H1935" s="566">
        <v>2.7208976157082749</v>
      </c>
      <c r="I1935" s="567" t="s">
        <v>288</v>
      </c>
      <c r="J1935" s="568" t="s">
        <v>288</v>
      </c>
      <c r="L1935" s="373">
        <v>1</v>
      </c>
    </row>
    <row r="1936" spans="1:12">
      <c r="A1936" s="565">
        <v>1931</v>
      </c>
      <c r="B1936" s="560" t="s">
        <v>278</v>
      </c>
      <c r="C1936" s="560" t="s">
        <v>537</v>
      </c>
      <c r="D1936" s="560" t="s">
        <v>291</v>
      </c>
      <c r="E1936" s="560">
        <v>111</v>
      </c>
      <c r="F1936" s="560">
        <v>4</v>
      </c>
      <c r="G1936" s="560" t="s">
        <v>286</v>
      </c>
      <c r="H1936" s="566">
        <v>3.1136044880785416</v>
      </c>
      <c r="I1936" s="567" t="s">
        <v>464</v>
      </c>
      <c r="J1936" s="568" t="s">
        <v>288</v>
      </c>
      <c r="L1936" s="373">
        <v>1</v>
      </c>
    </row>
    <row r="1937" spans="1:12" ht="21">
      <c r="A1937" s="565">
        <v>1932</v>
      </c>
      <c r="B1937" s="560" t="s">
        <v>278</v>
      </c>
      <c r="C1937" s="560" t="s">
        <v>537</v>
      </c>
      <c r="D1937" s="560" t="s">
        <v>292</v>
      </c>
      <c r="E1937" s="560">
        <v>147</v>
      </c>
      <c r="F1937" s="560">
        <v>3</v>
      </c>
      <c r="G1937" s="560" t="s">
        <v>286</v>
      </c>
      <c r="H1937" s="566">
        <v>4.1234221598877978</v>
      </c>
      <c r="I1937" s="567" t="s">
        <v>464</v>
      </c>
      <c r="J1937" s="568" t="s">
        <v>506</v>
      </c>
      <c r="L1937" s="373">
        <v>1</v>
      </c>
    </row>
    <row r="1938" spans="1:12">
      <c r="A1938" s="565">
        <v>1933</v>
      </c>
      <c r="B1938" s="560" t="s">
        <v>278</v>
      </c>
      <c r="C1938" s="560" t="s">
        <v>537</v>
      </c>
      <c r="D1938" s="560" t="s">
        <v>290</v>
      </c>
      <c r="E1938" s="560">
        <v>110</v>
      </c>
      <c r="F1938" s="560">
        <v>2</v>
      </c>
      <c r="G1938" s="560" t="s">
        <v>115</v>
      </c>
      <c r="H1938" s="566">
        <v>0</v>
      </c>
      <c r="I1938" s="567" t="s">
        <v>288</v>
      </c>
      <c r="J1938" s="568" t="s">
        <v>288</v>
      </c>
      <c r="L1938" s="373">
        <v>1</v>
      </c>
    </row>
    <row r="1939" spans="1:12">
      <c r="A1939" s="565">
        <v>1934</v>
      </c>
      <c r="B1939" s="560" t="s">
        <v>278</v>
      </c>
      <c r="C1939" s="560" t="s">
        <v>537</v>
      </c>
      <c r="D1939" s="560" t="s">
        <v>291</v>
      </c>
      <c r="E1939" s="560">
        <v>143</v>
      </c>
      <c r="F1939" s="560">
        <v>3</v>
      </c>
      <c r="G1939" s="560" t="s">
        <v>115</v>
      </c>
      <c r="H1939" s="566">
        <v>0</v>
      </c>
      <c r="I1939" s="567" t="s">
        <v>499</v>
      </c>
      <c r="J1939" s="568" t="s">
        <v>288</v>
      </c>
      <c r="L1939" s="373">
        <v>1</v>
      </c>
    </row>
    <row r="1940" spans="1:12" ht="21">
      <c r="A1940" s="565">
        <v>1935</v>
      </c>
      <c r="B1940" s="560" t="s">
        <v>278</v>
      </c>
      <c r="C1940" s="560" t="s">
        <v>537</v>
      </c>
      <c r="D1940" s="560" t="s">
        <v>293</v>
      </c>
      <c r="E1940" s="560">
        <v>136</v>
      </c>
      <c r="F1940" s="560">
        <v>4</v>
      </c>
      <c r="G1940" s="560" t="s">
        <v>286</v>
      </c>
      <c r="H1940" s="566">
        <v>3.8148667601683033</v>
      </c>
      <c r="I1940" s="567" t="s">
        <v>489</v>
      </c>
      <c r="J1940" s="568" t="s">
        <v>474</v>
      </c>
      <c r="L1940" s="373">
        <v>1</v>
      </c>
    </row>
    <row r="1941" spans="1:12" ht="21">
      <c r="A1941" s="565">
        <v>1936</v>
      </c>
      <c r="B1941" s="560" t="s">
        <v>278</v>
      </c>
      <c r="C1941" s="560" t="s">
        <v>537</v>
      </c>
      <c r="D1941" s="560" t="s">
        <v>291</v>
      </c>
      <c r="E1941" s="560">
        <v>162</v>
      </c>
      <c r="F1941" s="560">
        <v>5</v>
      </c>
      <c r="G1941" s="560" t="s">
        <v>286</v>
      </c>
      <c r="H1941" s="566">
        <v>4.5441795231416551</v>
      </c>
      <c r="I1941" s="567" t="s">
        <v>489</v>
      </c>
      <c r="J1941" s="568" t="s">
        <v>288</v>
      </c>
      <c r="L1941" s="373">
        <v>1</v>
      </c>
    </row>
    <row r="1942" spans="1:12">
      <c r="A1942" s="565">
        <v>1937</v>
      </c>
      <c r="B1942" s="560" t="s">
        <v>278</v>
      </c>
      <c r="C1942" s="560" t="s">
        <v>537</v>
      </c>
      <c r="D1942" s="560" t="s">
        <v>292</v>
      </c>
      <c r="E1942" s="560">
        <v>112</v>
      </c>
      <c r="F1942" s="560">
        <v>2</v>
      </c>
      <c r="G1942" s="560" t="s">
        <v>286</v>
      </c>
      <c r="H1942" s="566">
        <v>3.1416549789621318</v>
      </c>
      <c r="I1942" s="567" t="s">
        <v>288</v>
      </c>
      <c r="J1942" s="568" t="s">
        <v>288</v>
      </c>
      <c r="L1942" s="373">
        <v>1</v>
      </c>
    </row>
    <row r="1943" spans="1:12">
      <c r="A1943" s="565">
        <v>1938</v>
      </c>
      <c r="B1943" s="560" t="s">
        <v>278</v>
      </c>
      <c r="C1943" s="560" t="s">
        <v>537</v>
      </c>
      <c r="D1943" s="560" t="s">
        <v>291</v>
      </c>
      <c r="E1943" s="560">
        <v>143</v>
      </c>
      <c r="F1943" s="560">
        <v>3</v>
      </c>
      <c r="G1943" s="560" t="s">
        <v>286</v>
      </c>
      <c r="H1943" s="566">
        <v>4.0112201963534364</v>
      </c>
      <c r="I1943" s="567" t="s">
        <v>464</v>
      </c>
      <c r="J1943" s="568" t="s">
        <v>288</v>
      </c>
      <c r="L1943" s="373">
        <v>1</v>
      </c>
    </row>
    <row r="1944" spans="1:12">
      <c r="A1944" s="565">
        <v>1939</v>
      </c>
      <c r="B1944" s="560" t="s">
        <v>278</v>
      </c>
      <c r="C1944" s="560" t="s">
        <v>537</v>
      </c>
      <c r="D1944" s="560" t="s">
        <v>291</v>
      </c>
      <c r="E1944" s="560">
        <v>158</v>
      </c>
      <c r="F1944" s="560">
        <v>5</v>
      </c>
      <c r="G1944" s="560" t="s">
        <v>286</v>
      </c>
      <c r="H1944" s="566">
        <v>4.4319775596072937</v>
      </c>
      <c r="I1944" s="567" t="s">
        <v>499</v>
      </c>
      <c r="J1944" s="568" t="s">
        <v>288</v>
      </c>
      <c r="L1944" s="373">
        <v>1</v>
      </c>
    </row>
    <row r="1945" spans="1:12">
      <c r="A1945" s="565">
        <v>1940</v>
      </c>
      <c r="B1945" s="560" t="s">
        <v>278</v>
      </c>
      <c r="C1945" s="560" t="s">
        <v>537</v>
      </c>
      <c r="D1945" s="560" t="s">
        <v>292</v>
      </c>
      <c r="E1945" s="560">
        <v>115</v>
      </c>
      <c r="F1945" s="560">
        <v>3</v>
      </c>
      <c r="G1945" s="560" t="s">
        <v>286</v>
      </c>
      <c r="H1945" s="566">
        <v>3.2258064516129035</v>
      </c>
      <c r="I1945" s="567" t="s">
        <v>464</v>
      </c>
      <c r="J1945" s="568" t="s">
        <v>288</v>
      </c>
      <c r="L1945" s="373">
        <v>1</v>
      </c>
    </row>
    <row r="1946" spans="1:12">
      <c r="A1946" s="565">
        <v>1941</v>
      </c>
      <c r="B1946" s="560" t="s">
        <v>278</v>
      </c>
      <c r="C1946" s="560" t="s">
        <v>537</v>
      </c>
      <c r="D1946" s="560" t="s">
        <v>291</v>
      </c>
      <c r="E1946" s="560">
        <v>133</v>
      </c>
      <c r="F1946" s="560">
        <v>3</v>
      </c>
      <c r="G1946" s="560" t="s">
        <v>286</v>
      </c>
      <c r="H1946" s="566">
        <v>3.7307152875175316</v>
      </c>
      <c r="I1946" s="567" t="s">
        <v>288</v>
      </c>
      <c r="J1946" s="568" t="s">
        <v>288</v>
      </c>
      <c r="L1946" s="373">
        <v>1</v>
      </c>
    </row>
    <row r="1947" spans="1:12">
      <c r="A1947" s="565">
        <v>1942</v>
      </c>
      <c r="B1947" s="560" t="s">
        <v>278</v>
      </c>
      <c r="C1947" s="560" t="s">
        <v>537</v>
      </c>
      <c r="D1947" s="560" t="s">
        <v>291</v>
      </c>
      <c r="E1947" s="560">
        <v>142</v>
      </c>
      <c r="F1947" s="560">
        <v>4</v>
      </c>
      <c r="G1947" s="560" t="s">
        <v>286</v>
      </c>
      <c r="H1947" s="566">
        <v>3.9831697054698458</v>
      </c>
      <c r="I1947" s="567" t="s">
        <v>464</v>
      </c>
      <c r="J1947" s="568" t="s">
        <v>288</v>
      </c>
      <c r="L1947" s="373">
        <v>1</v>
      </c>
    </row>
    <row r="1948" spans="1:12">
      <c r="A1948" s="565">
        <v>1943</v>
      </c>
      <c r="B1948" s="560" t="s">
        <v>278</v>
      </c>
      <c r="C1948" s="560" t="s">
        <v>536</v>
      </c>
      <c r="D1948" s="560" t="s">
        <v>292</v>
      </c>
      <c r="E1948" s="560">
        <v>156</v>
      </c>
      <c r="F1948" s="560">
        <v>5</v>
      </c>
      <c r="G1948" s="560" t="s">
        <v>286</v>
      </c>
      <c r="H1948" s="566">
        <v>4.3758765778401125</v>
      </c>
      <c r="I1948" s="567" t="s">
        <v>288</v>
      </c>
      <c r="J1948" s="568" t="s">
        <v>288</v>
      </c>
      <c r="L1948" s="373">
        <v>1</v>
      </c>
    </row>
    <row r="1949" spans="1:12" ht="21">
      <c r="A1949" s="565">
        <v>1944</v>
      </c>
      <c r="B1949" s="560" t="s">
        <v>278</v>
      </c>
      <c r="C1949" s="560" t="s">
        <v>536</v>
      </c>
      <c r="D1949" s="560" t="s">
        <v>291</v>
      </c>
      <c r="E1949" s="560">
        <v>168</v>
      </c>
      <c r="F1949" s="560">
        <v>7</v>
      </c>
      <c r="G1949" s="560" t="s">
        <v>286</v>
      </c>
      <c r="H1949" s="566">
        <v>4.7124824684431976</v>
      </c>
      <c r="I1949" s="567" t="s">
        <v>464</v>
      </c>
      <c r="J1949" s="568" t="s">
        <v>506</v>
      </c>
      <c r="L1949" s="373">
        <v>1</v>
      </c>
    </row>
    <row r="1950" spans="1:12">
      <c r="A1950" s="565">
        <v>1945</v>
      </c>
      <c r="B1950" s="560" t="s">
        <v>278</v>
      </c>
      <c r="C1950" s="560" t="s">
        <v>536</v>
      </c>
      <c r="D1950" s="560" t="s">
        <v>292</v>
      </c>
      <c r="E1950" s="560">
        <v>157</v>
      </c>
      <c r="F1950" s="560">
        <v>6</v>
      </c>
      <c r="G1950" s="560" t="s">
        <v>286</v>
      </c>
      <c r="H1950" s="566">
        <v>4.4039270687237027</v>
      </c>
      <c r="I1950" s="567" t="s">
        <v>464</v>
      </c>
      <c r="J1950" s="568" t="s">
        <v>288</v>
      </c>
      <c r="L1950" s="373">
        <v>1</v>
      </c>
    </row>
    <row r="1951" spans="1:12">
      <c r="A1951" s="565">
        <v>1946</v>
      </c>
      <c r="B1951" s="560" t="s">
        <v>278</v>
      </c>
      <c r="C1951" s="560" t="s">
        <v>536</v>
      </c>
      <c r="D1951" s="560" t="s">
        <v>291</v>
      </c>
      <c r="E1951" s="560">
        <v>152</v>
      </c>
      <c r="F1951" s="560">
        <v>5</v>
      </c>
      <c r="G1951" s="560" t="s">
        <v>286</v>
      </c>
      <c r="H1951" s="566">
        <v>4.2636746143057502</v>
      </c>
      <c r="I1951" s="567" t="s">
        <v>499</v>
      </c>
      <c r="J1951" s="568" t="s">
        <v>288</v>
      </c>
      <c r="L1951" s="373">
        <v>1</v>
      </c>
    </row>
    <row r="1952" spans="1:12">
      <c r="A1952" s="565">
        <v>1947</v>
      </c>
      <c r="B1952" s="560" t="s">
        <v>278</v>
      </c>
      <c r="C1952" s="560" t="s">
        <v>536</v>
      </c>
      <c r="D1952" s="560" t="s">
        <v>292</v>
      </c>
      <c r="E1952" s="560">
        <v>141</v>
      </c>
      <c r="F1952" s="560">
        <v>4</v>
      </c>
      <c r="G1952" s="560" t="s">
        <v>286</v>
      </c>
      <c r="H1952" s="566">
        <v>3.9551192145862553</v>
      </c>
      <c r="I1952" s="567" t="s">
        <v>464</v>
      </c>
      <c r="J1952" s="568" t="s">
        <v>288</v>
      </c>
      <c r="L1952" s="373">
        <v>1</v>
      </c>
    </row>
    <row r="1953" spans="1:12">
      <c r="A1953" s="565">
        <v>1948</v>
      </c>
      <c r="B1953" s="560" t="s">
        <v>278</v>
      </c>
      <c r="C1953" s="560" t="s">
        <v>536</v>
      </c>
      <c r="D1953" s="560" t="s">
        <v>292</v>
      </c>
      <c r="E1953" s="560">
        <v>138</v>
      </c>
      <c r="F1953" s="560">
        <v>3</v>
      </c>
      <c r="G1953" s="560" t="s">
        <v>286</v>
      </c>
      <c r="H1953" s="566">
        <v>3.870967741935484</v>
      </c>
      <c r="I1953" s="567" t="s">
        <v>464</v>
      </c>
      <c r="J1953" s="568" t="s">
        <v>288</v>
      </c>
      <c r="L1953" s="373">
        <v>1</v>
      </c>
    </row>
    <row r="1954" spans="1:12">
      <c r="A1954" s="565">
        <v>1949</v>
      </c>
      <c r="B1954" s="560" t="s">
        <v>278</v>
      </c>
      <c r="C1954" s="560" t="s">
        <v>536</v>
      </c>
      <c r="D1954" s="560" t="s">
        <v>292</v>
      </c>
      <c r="E1954" s="560">
        <v>147</v>
      </c>
      <c r="F1954" s="560">
        <v>5</v>
      </c>
      <c r="G1954" s="560" t="s">
        <v>286</v>
      </c>
      <c r="H1954" s="566">
        <v>4.1234221598877978</v>
      </c>
      <c r="I1954" s="567" t="s">
        <v>288</v>
      </c>
      <c r="J1954" s="568" t="s">
        <v>288</v>
      </c>
      <c r="L1954" s="373">
        <v>1</v>
      </c>
    </row>
    <row r="1955" spans="1:12">
      <c r="A1955" s="565">
        <v>1950</v>
      </c>
      <c r="B1955" s="560" t="s">
        <v>278</v>
      </c>
      <c r="C1955" s="560" t="s">
        <v>536</v>
      </c>
      <c r="D1955" s="560" t="s">
        <v>291</v>
      </c>
      <c r="E1955" s="560">
        <v>110</v>
      </c>
      <c r="F1955" s="560">
        <v>2</v>
      </c>
      <c r="G1955" s="560" t="s">
        <v>286</v>
      </c>
      <c r="H1955" s="566">
        <v>3.085553997194951</v>
      </c>
      <c r="I1955" s="567" t="s">
        <v>464</v>
      </c>
      <c r="J1955" s="568" t="s">
        <v>288</v>
      </c>
      <c r="L1955" s="373">
        <v>1</v>
      </c>
    </row>
    <row r="1956" spans="1:12">
      <c r="A1956" s="565">
        <v>1951</v>
      </c>
      <c r="B1956" s="560" t="s">
        <v>278</v>
      </c>
      <c r="C1956" s="560" t="s">
        <v>536</v>
      </c>
      <c r="D1956" s="560" t="s">
        <v>292</v>
      </c>
      <c r="E1956" s="560">
        <v>156</v>
      </c>
      <c r="F1956" s="560">
        <v>5</v>
      </c>
      <c r="G1956" s="560" t="s">
        <v>286</v>
      </c>
      <c r="H1956" s="566">
        <v>4.3758765778401125</v>
      </c>
      <c r="I1956" s="567" t="s">
        <v>288</v>
      </c>
      <c r="J1956" s="568" t="s">
        <v>288</v>
      </c>
      <c r="L1956" s="373">
        <v>1</v>
      </c>
    </row>
    <row r="1957" spans="1:12" ht="21">
      <c r="A1957" s="565">
        <v>1952</v>
      </c>
      <c r="B1957" s="560" t="s">
        <v>278</v>
      </c>
      <c r="C1957" s="560" t="s">
        <v>536</v>
      </c>
      <c r="D1957" s="560" t="s">
        <v>291</v>
      </c>
      <c r="E1957" s="560">
        <v>168</v>
      </c>
      <c r="F1957" s="560">
        <v>7</v>
      </c>
      <c r="G1957" s="560" t="s">
        <v>286</v>
      </c>
      <c r="H1957" s="566">
        <v>4.7124824684431976</v>
      </c>
      <c r="I1957" s="567" t="s">
        <v>464</v>
      </c>
      <c r="J1957" s="568" t="s">
        <v>506</v>
      </c>
      <c r="L1957" s="373">
        <v>1</v>
      </c>
    </row>
    <row r="1958" spans="1:12">
      <c r="A1958" s="565">
        <v>1953</v>
      </c>
      <c r="B1958" s="560" t="s">
        <v>278</v>
      </c>
      <c r="C1958" s="560" t="s">
        <v>536</v>
      </c>
      <c r="D1958" s="560" t="s">
        <v>292</v>
      </c>
      <c r="E1958" s="560">
        <v>157</v>
      </c>
      <c r="F1958" s="560">
        <v>6</v>
      </c>
      <c r="G1958" s="560" t="s">
        <v>286</v>
      </c>
      <c r="H1958" s="566">
        <v>4.4039270687237027</v>
      </c>
      <c r="I1958" s="567" t="s">
        <v>464</v>
      </c>
      <c r="J1958" s="568" t="s">
        <v>288</v>
      </c>
      <c r="L1958" s="373">
        <v>1</v>
      </c>
    </row>
    <row r="1959" spans="1:12">
      <c r="A1959" s="565">
        <v>1954</v>
      </c>
      <c r="B1959" s="560" t="s">
        <v>278</v>
      </c>
      <c r="C1959" s="560" t="s">
        <v>536</v>
      </c>
      <c r="D1959" s="560" t="s">
        <v>291</v>
      </c>
      <c r="E1959" s="560">
        <v>152</v>
      </c>
      <c r="F1959" s="560">
        <v>5</v>
      </c>
      <c r="G1959" s="560" t="s">
        <v>286</v>
      </c>
      <c r="H1959" s="566">
        <v>4.2636746143057502</v>
      </c>
      <c r="I1959" s="567" t="s">
        <v>499</v>
      </c>
      <c r="J1959" s="568" t="s">
        <v>288</v>
      </c>
      <c r="L1959" s="373">
        <v>1</v>
      </c>
    </row>
    <row r="1960" spans="1:12">
      <c r="A1960" s="565">
        <v>1955</v>
      </c>
      <c r="B1960" s="560" t="s">
        <v>278</v>
      </c>
      <c r="C1960" s="560" t="s">
        <v>536</v>
      </c>
      <c r="D1960" s="560" t="s">
        <v>292</v>
      </c>
      <c r="E1960" s="560">
        <v>141</v>
      </c>
      <c r="F1960" s="560">
        <v>4</v>
      </c>
      <c r="G1960" s="560" t="s">
        <v>286</v>
      </c>
      <c r="H1960" s="566">
        <v>3.9551192145862553</v>
      </c>
      <c r="I1960" s="567" t="s">
        <v>464</v>
      </c>
      <c r="J1960" s="568" t="s">
        <v>288</v>
      </c>
      <c r="L1960" s="373">
        <v>1</v>
      </c>
    </row>
    <row r="1961" spans="1:12">
      <c r="A1961" s="565">
        <v>1956</v>
      </c>
      <c r="B1961" s="560" t="s">
        <v>278</v>
      </c>
      <c r="C1961" s="560" t="s">
        <v>536</v>
      </c>
      <c r="D1961" s="560" t="s">
        <v>292</v>
      </c>
      <c r="E1961" s="560">
        <v>138</v>
      </c>
      <c r="F1961" s="560">
        <v>3</v>
      </c>
      <c r="G1961" s="560" t="s">
        <v>286</v>
      </c>
      <c r="H1961" s="566">
        <v>3.870967741935484</v>
      </c>
      <c r="I1961" s="567" t="s">
        <v>464</v>
      </c>
      <c r="J1961" s="568" t="s">
        <v>288</v>
      </c>
      <c r="L1961" s="373">
        <v>1</v>
      </c>
    </row>
    <row r="1962" spans="1:12">
      <c r="A1962" s="565">
        <v>1957</v>
      </c>
      <c r="B1962" s="560" t="s">
        <v>278</v>
      </c>
      <c r="C1962" s="560" t="s">
        <v>536</v>
      </c>
      <c r="D1962" s="560" t="s">
        <v>292</v>
      </c>
      <c r="E1962" s="560">
        <v>147</v>
      </c>
      <c r="F1962" s="560">
        <v>5</v>
      </c>
      <c r="G1962" s="560" t="s">
        <v>286</v>
      </c>
      <c r="H1962" s="566">
        <v>4.1234221598877978</v>
      </c>
      <c r="I1962" s="567" t="s">
        <v>288</v>
      </c>
      <c r="J1962" s="568" t="s">
        <v>288</v>
      </c>
      <c r="L1962" s="373">
        <v>1</v>
      </c>
    </row>
    <row r="1963" spans="1:12">
      <c r="A1963" s="565">
        <v>1958</v>
      </c>
      <c r="B1963" s="560" t="s">
        <v>278</v>
      </c>
      <c r="C1963" s="560" t="s">
        <v>536</v>
      </c>
      <c r="D1963" s="560" t="s">
        <v>291</v>
      </c>
      <c r="E1963" s="560">
        <v>110</v>
      </c>
      <c r="F1963" s="560">
        <v>2</v>
      </c>
      <c r="G1963" s="560" t="s">
        <v>286</v>
      </c>
      <c r="H1963" s="566">
        <v>3.085553997194951</v>
      </c>
      <c r="I1963" s="567" t="s">
        <v>464</v>
      </c>
      <c r="J1963" s="568" t="s">
        <v>288</v>
      </c>
      <c r="L1963" s="373">
        <v>1</v>
      </c>
    </row>
    <row r="1964" spans="1:12">
      <c r="A1964" s="565">
        <v>1959</v>
      </c>
      <c r="B1964" s="560" t="s">
        <v>278</v>
      </c>
      <c r="C1964" s="560" t="s">
        <v>536</v>
      </c>
      <c r="D1964" s="560" t="s">
        <v>292</v>
      </c>
      <c r="E1964" s="560">
        <v>97</v>
      </c>
      <c r="F1964" s="560">
        <v>3</v>
      </c>
      <c r="G1964" s="560" t="s">
        <v>286</v>
      </c>
      <c r="H1964" s="566">
        <v>2.7208976157082749</v>
      </c>
      <c r="I1964" s="567" t="s">
        <v>288</v>
      </c>
      <c r="J1964" s="568" t="s">
        <v>288</v>
      </c>
      <c r="L1964" s="373">
        <v>1</v>
      </c>
    </row>
    <row r="1965" spans="1:12">
      <c r="A1965" s="565">
        <v>1960</v>
      </c>
      <c r="B1965" s="560" t="s">
        <v>278</v>
      </c>
      <c r="C1965" s="560" t="s">
        <v>536</v>
      </c>
      <c r="D1965" s="560" t="s">
        <v>291</v>
      </c>
      <c r="E1965" s="560">
        <v>152</v>
      </c>
      <c r="F1965" s="560">
        <v>4</v>
      </c>
      <c r="G1965" s="560" t="s">
        <v>115</v>
      </c>
      <c r="H1965" s="566">
        <v>0</v>
      </c>
      <c r="I1965" s="567" t="s">
        <v>464</v>
      </c>
      <c r="J1965" s="568" t="s">
        <v>288</v>
      </c>
      <c r="L1965" s="373">
        <v>1</v>
      </c>
    </row>
    <row r="1966" spans="1:12">
      <c r="A1966" s="565">
        <v>1961</v>
      </c>
      <c r="B1966" s="560" t="s">
        <v>278</v>
      </c>
      <c r="C1966" s="560" t="s">
        <v>536</v>
      </c>
      <c r="D1966" s="560" t="s">
        <v>292</v>
      </c>
      <c r="E1966" s="560">
        <v>148</v>
      </c>
      <c r="F1966" s="560">
        <v>5</v>
      </c>
      <c r="G1966" s="560" t="s">
        <v>115</v>
      </c>
      <c r="H1966" s="566">
        <v>0</v>
      </c>
      <c r="I1966" s="567" t="s">
        <v>288</v>
      </c>
      <c r="J1966" s="568" t="s">
        <v>288</v>
      </c>
      <c r="L1966" s="373">
        <v>1</v>
      </c>
    </row>
    <row r="1967" spans="1:12">
      <c r="A1967" s="565">
        <v>1962</v>
      </c>
      <c r="B1967" s="560" t="s">
        <v>278</v>
      </c>
      <c r="C1967" s="560" t="s">
        <v>536</v>
      </c>
      <c r="D1967" s="560" t="s">
        <v>292</v>
      </c>
      <c r="E1967" s="560">
        <v>115</v>
      </c>
      <c r="F1967" s="560">
        <v>3</v>
      </c>
      <c r="G1967" s="560" t="s">
        <v>286</v>
      </c>
      <c r="H1967" s="566">
        <v>3.2258064516129035</v>
      </c>
      <c r="I1967" s="567" t="s">
        <v>288</v>
      </c>
      <c r="J1967" s="568" t="s">
        <v>288</v>
      </c>
      <c r="L1967" s="373">
        <v>1</v>
      </c>
    </row>
    <row r="1968" spans="1:12">
      <c r="A1968" s="565">
        <v>1963</v>
      </c>
      <c r="B1968" s="560" t="s">
        <v>278</v>
      </c>
      <c r="C1968" s="560" t="s">
        <v>536</v>
      </c>
      <c r="D1968" s="560" t="s">
        <v>292</v>
      </c>
      <c r="E1968" s="560">
        <v>116</v>
      </c>
      <c r="F1968" s="560">
        <v>2</v>
      </c>
      <c r="G1968" s="560" t="s">
        <v>286</v>
      </c>
      <c r="H1968" s="566">
        <v>3.2538569424964936</v>
      </c>
      <c r="I1968" s="567" t="s">
        <v>288</v>
      </c>
      <c r="J1968" s="568" t="s">
        <v>288</v>
      </c>
      <c r="L1968" s="373">
        <v>1</v>
      </c>
    </row>
    <row r="1969" spans="1:12" ht="21">
      <c r="A1969" s="565">
        <v>1964</v>
      </c>
      <c r="B1969" s="560" t="s">
        <v>278</v>
      </c>
      <c r="C1969" s="560" t="s">
        <v>536</v>
      </c>
      <c r="D1969" s="560" t="s">
        <v>291</v>
      </c>
      <c r="E1969" s="560">
        <v>127</v>
      </c>
      <c r="F1969" s="560">
        <v>4</v>
      </c>
      <c r="G1969" s="560" t="s">
        <v>286</v>
      </c>
      <c r="H1969" s="566">
        <v>3.562412342215989</v>
      </c>
      <c r="I1969" s="567" t="s">
        <v>489</v>
      </c>
      <c r="J1969" s="568" t="s">
        <v>288</v>
      </c>
      <c r="L1969" s="373">
        <v>1</v>
      </c>
    </row>
    <row r="1970" spans="1:12">
      <c r="A1970" s="565">
        <v>1965</v>
      </c>
      <c r="B1970" s="560" t="s">
        <v>278</v>
      </c>
      <c r="C1970" s="560" t="s">
        <v>536</v>
      </c>
      <c r="D1970" s="560" t="s">
        <v>292</v>
      </c>
      <c r="E1970" s="560">
        <v>132</v>
      </c>
      <c r="F1970" s="560">
        <v>3</v>
      </c>
      <c r="G1970" s="560" t="s">
        <v>286</v>
      </c>
      <c r="H1970" s="566">
        <v>3.7026647966339414</v>
      </c>
      <c r="I1970" s="567" t="s">
        <v>288</v>
      </c>
      <c r="J1970" s="568" t="s">
        <v>288</v>
      </c>
      <c r="L1970" s="373">
        <v>1</v>
      </c>
    </row>
    <row r="1971" spans="1:12">
      <c r="A1971" s="565">
        <v>1966</v>
      </c>
      <c r="B1971" s="560" t="s">
        <v>278</v>
      </c>
      <c r="C1971" s="560" t="s">
        <v>536</v>
      </c>
      <c r="D1971" s="560" t="s">
        <v>290</v>
      </c>
      <c r="E1971" s="560">
        <v>119</v>
      </c>
      <c r="F1971" s="560">
        <v>2</v>
      </c>
      <c r="G1971" s="560" t="s">
        <v>286</v>
      </c>
      <c r="H1971" s="566">
        <v>3.3380084151472653</v>
      </c>
      <c r="I1971" s="567" t="s">
        <v>288</v>
      </c>
      <c r="J1971" s="568" t="s">
        <v>288</v>
      </c>
      <c r="L1971" s="373">
        <v>1</v>
      </c>
    </row>
    <row r="1972" spans="1:12">
      <c r="A1972" s="565">
        <v>1967</v>
      </c>
      <c r="B1972" s="560" t="s">
        <v>278</v>
      </c>
      <c r="C1972" s="560" t="s">
        <v>536</v>
      </c>
      <c r="D1972" s="560" t="s">
        <v>291</v>
      </c>
      <c r="E1972" s="560">
        <v>148</v>
      </c>
      <c r="F1972" s="560">
        <v>3</v>
      </c>
      <c r="G1972" s="560" t="s">
        <v>286</v>
      </c>
      <c r="H1972" s="566">
        <v>4.1514726507713888</v>
      </c>
      <c r="I1972" s="567" t="s">
        <v>499</v>
      </c>
      <c r="J1972" s="568" t="s">
        <v>288</v>
      </c>
      <c r="L1972" s="373">
        <v>1</v>
      </c>
    </row>
    <row r="1973" spans="1:12">
      <c r="A1973" s="565">
        <v>1968</v>
      </c>
      <c r="B1973" s="560" t="s">
        <v>278</v>
      </c>
      <c r="C1973" s="560" t="s">
        <v>536</v>
      </c>
      <c r="D1973" s="560" t="s">
        <v>291</v>
      </c>
      <c r="E1973" s="560">
        <v>157</v>
      </c>
      <c r="F1973" s="560">
        <v>5</v>
      </c>
      <c r="G1973" s="560" t="s">
        <v>286</v>
      </c>
      <c r="H1973" s="566">
        <v>4.4039270687237027</v>
      </c>
      <c r="I1973" s="567" t="s">
        <v>288</v>
      </c>
      <c r="J1973" s="568" t="s">
        <v>288</v>
      </c>
      <c r="L1973" s="373">
        <v>1</v>
      </c>
    </row>
    <row r="1974" spans="1:12" ht="21">
      <c r="A1974" s="565">
        <v>1969</v>
      </c>
      <c r="B1974" s="560" t="s">
        <v>278</v>
      </c>
      <c r="C1974" s="560" t="s">
        <v>536</v>
      </c>
      <c r="D1974" s="560" t="s">
        <v>291</v>
      </c>
      <c r="E1974" s="560">
        <v>139</v>
      </c>
      <c r="F1974" s="560">
        <v>4</v>
      </c>
      <c r="G1974" s="560" t="s">
        <v>286</v>
      </c>
      <c r="H1974" s="566">
        <v>3.8990182328190746</v>
      </c>
      <c r="I1974" s="567" t="s">
        <v>489</v>
      </c>
      <c r="J1974" s="568" t="s">
        <v>288</v>
      </c>
      <c r="L1974" s="373">
        <v>1</v>
      </c>
    </row>
    <row r="1975" spans="1:12">
      <c r="A1975" s="565">
        <v>1970</v>
      </c>
      <c r="B1975" s="560" t="s">
        <v>278</v>
      </c>
      <c r="C1975" s="560" t="s">
        <v>536</v>
      </c>
      <c r="D1975" s="560" t="s">
        <v>291</v>
      </c>
      <c r="E1975" s="560">
        <v>140</v>
      </c>
      <c r="F1975" s="560">
        <v>3</v>
      </c>
      <c r="G1975" s="560" t="s">
        <v>286</v>
      </c>
      <c r="H1975" s="566">
        <v>3.9270687237026651</v>
      </c>
      <c r="I1975" s="567" t="s">
        <v>464</v>
      </c>
      <c r="J1975" s="568" t="s">
        <v>288</v>
      </c>
      <c r="L1975" s="373">
        <v>1</v>
      </c>
    </row>
    <row r="1976" spans="1:12">
      <c r="A1976" s="565">
        <v>1971</v>
      </c>
      <c r="B1976" s="560" t="s">
        <v>278</v>
      </c>
      <c r="C1976" s="560" t="s">
        <v>536</v>
      </c>
      <c r="D1976" s="560" t="s">
        <v>290</v>
      </c>
      <c r="E1976" s="560">
        <v>97</v>
      </c>
      <c r="F1976" s="560">
        <v>2</v>
      </c>
      <c r="G1976" s="560" t="s">
        <v>286</v>
      </c>
      <c r="H1976" s="566">
        <v>2.7208976157082749</v>
      </c>
      <c r="I1976" s="567" t="s">
        <v>288</v>
      </c>
      <c r="J1976" s="568" t="s">
        <v>288</v>
      </c>
      <c r="L1976" s="373">
        <v>1</v>
      </c>
    </row>
    <row r="1977" spans="1:12">
      <c r="A1977" s="565">
        <v>1972</v>
      </c>
      <c r="B1977" s="560" t="s">
        <v>278</v>
      </c>
      <c r="C1977" s="560" t="s">
        <v>536</v>
      </c>
      <c r="D1977" s="560" t="s">
        <v>291</v>
      </c>
      <c r="E1977" s="560">
        <v>111</v>
      </c>
      <c r="F1977" s="560">
        <v>4</v>
      </c>
      <c r="G1977" s="560" t="s">
        <v>286</v>
      </c>
      <c r="H1977" s="566">
        <v>3.1136044880785416</v>
      </c>
      <c r="I1977" s="567" t="s">
        <v>464</v>
      </c>
      <c r="J1977" s="568" t="s">
        <v>288</v>
      </c>
      <c r="L1977" s="373">
        <v>1</v>
      </c>
    </row>
    <row r="1978" spans="1:12" ht="21">
      <c r="A1978" s="565">
        <v>1973</v>
      </c>
      <c r="B1978" s="560" t="s">
        <v>278</v>
      </c>
      <c r="C1978" s="560" t="s">
        <v>536</v>
      </c>
      <c r="D1978" s="560" t="s">
        <v>292</v>
      </c>
      <c r="E1978" s="560">
        <v>147</v>
      </c>
      <c r="F1978" s="560">
        <v>3</v>
      </c>
      <c r="G1978" s="560" t="s">
        <v>286</v>
      </c>
      <c r="H1978" s="566">
        <v>4.1234221598877978</v>
      </c>
      <c r="I1978" s="567" t="s">
        <v>464</v>
      </c>
      <c r="J1978" s="568" t="s">
        <v>506</v>
      </c>
      <c r="L1978" s="373">
        <v>1</v>
      </c>
    </row>
    <row r="1979" spans="1:12">
      <c r="A1979" s="565">
        <v>1974</v>
      </c>
      <c r="B1979" s="560" t="s">
        <v>278</v>
      </c>
      <c r="C1979" s="560" t="s">
        <v>536</v>
      </c>
      <c r="D1979" s="560" t="s">
        <v>290</v>
      </c>
      <c r="E1979" s="560">
        <v>110</v>
      </c>
      <c r="F1979" s="560">
        <v>2</v>
      </c>
      <c r="G1979" s="560" t="s">
        <v>286</v>
      </c>
      <c r="H1979" s="566">
        <v>3.085553997194951</v>
      </c>
      <c r="I1979" s="567" t="s">
        <v>288</v>
      </c>
      <c r="J1979" s="568" t="s">
        <v>288</v>
      </c>
      <c r="L1979" s="373">
        <v>1</v>
      </c>
    </row>
    <row r="1980" spans="1:12">
      <c r="A1980" s="565">
        <v>1975</v>
      </c>
      <c r="B1980" s="560" t="s">
        <v>278</v>
      </c>
      <c r="C1980" s="560" t="s">
        <v>536</v>
      </c>
      <c r="D1980" s="560" t="s">
        <v>291</v>
      </c>
      <c r="E1980" s="560">
        <v>143</v>
      </c>
      <c r="F1980" s="560">
        <v>3</v>
      </c>
      <c r="G1980" s="560" t="s">
        <v>286</v>
      </c>
      <c r="H1980" s="566">
        <v>4.0112201963534364</v>
      </c>
      <c r="I1980" s="567" t="s">
        <v>499</v>
      </c>
      <c r="J1980" s="568" t="s">
        <v>288</v>
      </c>
      <c r="L1980" s="373">
        <v>1</v>
      </c>
    </row>
    <row r="1981" spans="1:12" ht="21">
      <c r="A1981" s="565">
        <v>1976</v>
      </c>
      <c r="B1981" s="560" t="s">
        <v>278</v>
      </c>
      <c r="C1981" s="560" t="s">
        <v>536</v>
      </c>
      <c r="D1981" s="560" t="s">
        <v>293</v>
      </c>
      <c r="E1981" s="560">
        <v>136</v>
      </c>
      <c r="F1981" s="560">
        <v>4</v>
      </c>
      <c r="G1981" s="560" t="s">
        <v>286</v>
      </c>
      <c r="H1981" s="566">
        <v>3.8148667601683033</v>
      </c>
      <c r="I1981" s="567" t="s">
        <v>489</v>
      </c>
      <c r="J1981" s="568" t="s">
        <v>474</v>
      </c>
      <c r="L1981" s="373">
        <v>1</v>
      </c>
    </row>
    <row r="1982" spans="1:12" ht="21">
      <c r="A1982" s="565">
        <v>1977</v>
      </c>
      <c r="B1982" s="560" t="s">
        <v>278</v>
      </c>
      <c r="C1982" s="560" t="s">
        <v>536</v>
      </c>
      <c r="D1982" s="560" t="s">
        <v>291</v>
      </c>
      <c r="E1982" s="560">
        <v>162</v>
      </c>
      <c r="F1982" s="560">
        <v>5</v>
      </c>
      <c r="G1982" s="560" t="s">
        <v>286</v>
      </c>
      <c r="H1982" s="566">
        <v>4.5441795231416551</v>
      </c>
      <c r="I1982" s="567" t="s">
        <v>489</v>
      </c>
      <c r="J1982" s="568" t="s">
        <v>288</v>
      </c>
      <c r="L1982" s="373">
        <v>1</v>
      </c>
    </row>
    <row r="1983" spans="1:12">
      <c r="A1983" s="565">
        <v>1978</v>
      </c>
      <c r="B1983" s="560" t="s">
        <v>278</v>
      </c>
      <c r="C1983" s="560" t="s">
        <v>536</v>
      </c>
      <c r="D1983" s="560" t="s">
        <v>292</v>
      </c>
      <c r="E1983" s="560">
        <v>112</v>
      </c>
      <c r="F1983" s="560">
        <v>2</v>
      </c>
      <c r="G1983" s="560" t="s">
        <v>286</v>
      </c>
      <c r="H1983" s="566">
        <v>3.1416549789621318</v>
      </c>
      <c r="I1983" s="567" t="s">
        <v>288</v>
      </c>
      <c r="J1983" s="568" t="s">
        <v>288</v>
      </c>
      <c r="L1983" s="373">
        <v>1</v>
      </c>
    </row>
    <row r="1984" spans="1:12">
      <c r="A1984" s="565">
        <v>1979</v>
      </c>
      <c r="B1984" s="560" t="s">
        <v>278</v>
      </c>
      <c r="C1984" s="560" t="s">
        <v>536</v>
      </c>
      <c r="D1984" s="560" t="s">
        <v>291</v>
      </c>
      <c r="E1984" s="560">
        <v>143</v>
      </c>
      <c r="F1984" s="560">
        <v>3</v>
      </c>
      <c r="G1984" s="560" t="s">
        <v>286</v>
      </c>
      <c r="H1984" s="566">
        <v>4.0112201963534364</v>
      </c>
      <c r="I1984" s="567" t="s">
        <v>464</v>
      </c>
      <c r="J1984" s="568" t="s">
        <v>288</v>
      </c>
      <c r="L1984" s="373">
        <v>1</v>
      </c>
    </row>
    <row r="1985" spans="1:12">
      <c r="A1985" s="565">
        <v>1980</v>
      </c>
      <c r="B1985" s="560" t="s">
        <v>278</v>
      </c>
      <c r="C1985" s="560" t="s">
        <v>536</v>
      </c>
      <c r="D1985" s="560" t="s">
        <v>291</v>
      </c>
      <c r="E1985" s="560">
        <v>158</v>
      </c>
      <c r="F1985" s="560">
        <v>5</v>
      </c>
      <c r="G1985" s="560" t="s">
        <v>286</v>
      </c>
      <c r="H1985" s="566">
        <v>4.4319775596072937</v>
      </c>
      <c r="I1985" s="567" t="s">
        <v>499</v>
      </c>
      <c r="J1985" s="568" t="s">
        <v>288</v>
      </c>
      <c r="L1985" s="373">
        <v>1</v>
      </c>
    </row>
    <row r="1986" spans="1:12">
      <c r="A1986" s="565">
        <v>1981</v>
      </c>
      <c r="B1986" s="560" t="s">
        <v>278</v>
      </c>
      <c r="C1986" s="560" t="s">
        <v>536</v>
      </c>
      <c r="D1986" s="560" t="s">
        <v>292</v>
      </c>
      <c r="E1986" s="560">
        <v>115</v>
      </c>
      <c r="F1986" s="560">
        <v>3</v>
      </c>
      <c r="G1986" s="560" t="s">
        <v>286</v>
      </c>
      <c r="H1986" s="566">
        <v>3.2258064516129035</v>
      </c>
      <c r="I1986" s="567" t="s">
        <v>464</v>
      </c>
      <c r="J1986" s="568" t="s">
        <v>288</v>
      </c>
      <c r="L1986" s="373">
        <v>1</v>
      </c>
    </row>
    <row r="1987" spans="1:12">
      <c r="A1987" s="565">
        <v>1982</v>
      </c>
      <c r="B1987" s="560" t="s">
        <v>278</v>
      </c>
      <c r="C1987" s="560" t="s">
        <v>536</v>
      </c>
      <c r="D1987" s="560" t="s">
        <v>291</v>
      </c>
      <c r="E1987" s="560">
        <v>133</v>
      </c>
      <c r="F1987" s="560">
        <v>3</v>
      </c>
      <c r="G1987" s="560" t="s">
        <v>286</v>
      </c>
      <c r="H1987" s="566">
        <v>3.7307152875175316</v>
      </c>
      <c r="I1987" s="567" t="s">
        <v>288</v>
      </c>
      <c r="J1987" s="568" t="s">
        <v>288</v>
      </c>
      <c r="L1987" s="373">
        <v>1</v>
      </c>
    </row>
    <row r="1988" spans="1:12">
      <c r="A1988" s="565">
        <v>1983</v>
      </c>
      <c r="B1988" s="560" t="s">
        <v>278</v>
      </c>
      <c r="C1988" s="560" t="s">
        <v>536</v>
      </c>
      <c r="D1988" s="560" t="s">
        <v>291</v>
      </c>
      <c r="E1988" s="560">
        <v>142</v>
      </c>
      <c r="F1988" s="560">
        <v>4</v>
      </c>
      <c r="G1988" s="560" t="s">
        <v>286</v>
      </c>
      <c r="H1988" s="566">
        <v>3.9831697054698458</v>
      </c>
      <c r="I1988" s="567" t="s">
        <v>464</v>
      </c>
      <c r="J1988" s="568" t="s">
        <v>288</v>
      </c>
      <c r="L1988" s="373">
        <v>1</v>
      </c>
    </row>
    <row r="1989" spans="1:12">
      <c r="A1989" s="565">
        <v>1984</v>
      </c>
      <c r="B1989" s="560" t="s">
        <v>278</v>
      </c>
      <c r="C1989" s="560" t="s">
        <v>536</v>
      </c>
      <c r="D1989" s="560" t="s">
        <v>292</v>
      </c>
      <c r="E1989" s="560">
        <v>156</v>
      </c>
      <c r="F1989" s="560">
        <v>5</v>
      </c>
      <c r="G1989" s="560" t="s">
        <v>286</v>
      </c>
      <c r="H1989" s="566">
        <v>4.3758765778401125</v>
      </c>
      <c r="I1989" s="567" t="s">
        <v>288</v>
      </c>
      <c r="J1989" s="568" t="s">
        <v>288</v>
      </c>
      <c r="L1989" s="373">
        <v>1</v>
      </c>
    </row>
    <row r="1990" spans="1:12" ht="21">
      <c r="A1990" s="565">
        <v>1985</v>
      </c>
      <c r="B1990" s="560" t="s">
        <v>278</v>
      </c>
      <c r="C1990" s="560" t="s">
        <v>536</v>
      </c>
      <c r="D1990" s="560" t="s">
        <v>291</v>
      </c>
      <c r="E1990" s="560">
        <v>168</v>
      </c>
      <c r="F1990" s="560">
        <v>7</v>
      </c>
      <c r="G1990" s="560" t="s">
        <v>286</v>
      </c>
      <c r="H1990" s="566">
        <v>4.7124824684431976</v>
      </c>
      <c r="I1990" s="567" t="s">
        <v>464</v>
      </c>
      <c r="J1990" s="568" t="s">
        <v>506</v>
      </c>
      <c r="L1990" s="373">
        <v>1</v>
      </c>
    </row>
    <row r="1991" spans="1:12">
      <c r="A1991" s="565">
        <v>1986</v>
      </c>
      <c r="B1991" s="560" t="s">
        <v>278</v>
      </c>
      <c r="C1991" s="560" t="s">
        <v>536</v>
      </c>
      <c r="D1991" s="560" t="s">
        <v>292</v>
      </c>
      <c r="E1991" s="560">
        <v>157</v>
      </c>
      <c r="F1991" s="560">
        <v>6</v>
      </c>
      <c r="G1991" s="560" t="s">
        <v>286</v>
      </c>
      <c r="H1991" s="566">
        <v>4.4039270687237027</v>
      </c>
      <c r="I1991" s="567" t="s">
        <v>464</v>
      </c>
      <c r="J1991" s="568" t="s">
        <v>288</v>
      </c>
      <c r="L1991" s="373">
        <v>1</v>
      </c>
    </row>
    <row r="1992" spans="1:12">
      <c r="A1992" s="565">
        <v>1987</v>
      </c>
      <c r="B1992" s="560" t="s">
        <v>278</v>
      </c>
      <c r="C1992" s="560" t="s">
        <v>536</v>
      </c>
      <c r="D1992" s="560" t="s">
        <v>291</v>
      </c>
      <c r="E1992" s="560">
        <v>152</v>
      </c>
      <c r="F1992" s="560">
        <v>5</v>
      </c>
      <c r="G1992" s="560" t="s">
        <v>286</v>
      </c>
      <c r="H1992" s="566">
        <v>4.2636746143057502</v>
      </c>
      <c r="I1992" s="567" t="s">
        <v>499</v>
      </c>
      <c r="J1992" s="568" t="s">
        <v>288</v>
      </c>
      <c r="L1992" s="373">
        <v>1</v>
      </c>
    </row>
    <row r="1993" spans="1:12">
      <c r="A1993" s="565">
        <v>1988</v>
      </c>
      <c r="B1993" s="560" t="s">
        <v>278</v>
      </c>
      <c r="C1993" s="560" t="s">
        <v>536</v>
      </c>
      <c r="D1993" s="560" t="s">
        <v>292</v>
      </c>
      <c r="E1993" s="560">
        <v>141</v>
      </c>
      <c r="F1993" s="560">
        <v>4</v>
      </c>
      <c r="G1993" s="560" t="s">
        <v>286</v>
      </c>
      <c r="H1993" s="566">
        <v>3.9551192145862553</v>
      </c>
      <c r="I1993" s="567" t="s">
        <v>464</v>
      </c>
      <c r="J1993" s="568" t="s">
        <v>288</v>
      </c>
      <c r="L1993" s="373">
        <v>1</v>
      </c>
    </row>
    <row r="1994" spans="1:12">
      <c r="A1994" s="565">
        <v>1989</v>
      </c>
      <c r="B1994" s="560" t="s">
        <v>278</v>
      </c>
      <c r="C1994" s="560" t="s">
        <v>536</v>
      </c>
      <c r="D1994" s="560" t="s">
        <v>292</v>
      </c>
      <c r="E1994" s="560">
        <v>138</v>
      </c>
      <c r="F1994" s="560">
        <v>3</v>
      </c>
      <c r="G1994" s="560" t="s">
        <v>115</v>
      </c>
      <c r="H1994" s="566">
        <v>0</v>
      </c>
      <c r="I1994" s="567" t="s">
        <v>464</v>
      </c>
      <c r="J1994" s="568" t="s">
        <v>288</v>
      </c>
      <c r="L1994" s="373">
        <v>1</v>
      </c>
    </row>
    <row r="1995" spans="1:12">
      <c r="A1995" s="565">
        <v>1990</v>
      </c>
      <c r="B1995" s="560" t="s">
        <v>278</v>
      </c>
      <c r="C1995" s="560" t="s">
        <v>536</v>
      </c>
      <c r="D1995" s="560" t="s">
        <v>292</v>
      </c>
      <c r="E1995" s="560">
        <v>147</v>
      </c>
      <c r="F1995" s="560">
        <v>5</v>
      </c>
      <c r="G1995" s="560" t="s">
        <v>115</v>
      </c>
      <c r="H1995" s="566">
        <v>0</v>
      </c>
      <c r="I1995" s="567" t="s">
        <v>288</v>
      </c>
      <c r="J1995" s="568" t="s">
        <v>288</v>
      </c>
      <c r="L1995" s="373">
        <v>1</v>
      </c>
    </row>
    <row r="1996" spans="1:12">
      <c r="A1996" s="565">
        <v>1991</v>
      </c>
      <c r="B1996" s="560" t="s">
        <v>278</v>
      </c>
      <c r="C1996" s="560" t="s">
        <v>536</v>
      </c>
      <c r="D1996" s="560" t="s">
        <v>291</v>
      </c>
      <c r="E1996" s="560">
        <v>110</v>
      </c>
      <c r="F1996" s="560">
        <v>2</v>
      </c>
      <c r="G1996" s="560" t="s">
        <v>286</v>
      </c>
      <c r="H1996" s="566">
        <v>3.085553997194951</v>
      </c>
      <c r="I1996" s="567" t="s">
        <v>464</v>
      </c>
      <c r="J1996" s="568" t="s">
        <v>288</v>
      </c>
      <c r="L1996" s="373">
        <v>1</v>
      </c>
    </row>
    <row r="1997" spans="1:12">
      <c r="A1997" s="565">
        <v>1992</v>
      </c>
      <c r="B1997" s="560" t="s">
        <v>278</v>
      </c>
      <c r="C1997" s="560" t="s">
        <v>536</v>
      </c>
      <c r="D1997" s="560" t="s">
        <v>292</v>
      </c>
      <c r="E1997" s="560">
        <v>97</v>
      </c>
      <c r="F1997" s="560">
        <v>3</v>
      </c>
      <c r="G1997" s="560" t="s">
        <v>286</v>
      </c>
      <c r="H1997" s="566">
        <v>2.7208976157082749</v>
      </c>
      <c r="I1997" s="567" t="s">
        <v>288</v>
      </c>
      <c r="J1997" s="568" t="s">
        <v>288</v>
      </c>
      <c r="L1997" s="373">
        <v>1</v>
      </c>
    </row>
    <row r="1998" spans="1:12">
      <c r="A1998" s="565">
        <v>1993</v>
      </c>
      <c r="B1998" s="560" t="s">
        <v>278</v>
      </c>
      <c r="C1998" s="560" t="s">
        <v>536</v>
      </c>
      <c r="D1998" s="560" t="s">
        <v>291</v>
      </c>
      <c r="E1998" s="560">
        <v>152</v>
      </c>
      <c r="F1998" s="560">
        <v>4</v>
      </c>
      <c r="G1998" s="560" t="s">
        <v>286</v>
      </c>
      <c r="H1998" s="566">
        <v>4.2636746143057502</v>
      </c>
      <c r="I1998" s="567" t="s">
        <v>464</v>
      </c>
      <c r="J1998" s="568" t="s">
        <v>288</v>
      </c>
      <c r="L1998" s="373">
        <v>1</v>
      </c>
    </row>
    <row r="1999" spans="1:12">
      <c r="A1999" s="565">
        <v>1994</v>
      </c>
      <c r="B1999" s="560" t="s">
        <v>278</v>
      </c>
      <c r="C1999" s="560" t="s">
        <v>536</v>
      </c>
      <c r="D1999" s="560" t="s">
        <v>292</v>
      </c>
      <c r="E1999" s="560">
        <v>148</v>
      </c>
      <c r="F1999" s="560">
        <v>5</v>
      </c>
      <c r="G1999" s="560" t="s">
        <v>286</v>
      </c>
      <c r="H1999" s="566">
        <v>4.1514726507713888</v>
      </c>
      <c r="I1999" s="567" t="s">
        <v>288</v>
      </c>
      <c r="J1999" s="568" t="s">
        <v>288</v>
      </c>
      <c r="L1999" s="373">
        <v>1</v>
      </c>
    </row>
    <row r="2000" spans="1:12">
      <c r="A2000" s="565">
        <v>1995</v>
      </c>
      <c r="B2000" s="560" t="s">
        <v>278</v>
      </c>
      <c r="C2000" s="560" t="s">
        <v>536</v>
      </c>
      <c r="D2000" s="560" t="s">
        <v>292</v>
      </c>
      <c r="E2000" s="560">
        <v>115</v>
      </c>
      <c r="F2000" s="560">
        <v>3</v>
      </c>
      <c r="G2000" s="560" t="s">
        <v>286</v>
      </c>
      <c r="H2000" s="566">
        <v>3.2258064516129035</v>
      </c>
      <c r="I2000" s="567" t="s">
        <v>288</v>
      </c>
      <c r="J2000" s="568" t="s">
        <v>288</v>
      </c>
      <c r="L2000" s="373">
        <v>1</v>
      </c>
    </row>
    <row r="2001" spans="1:12">
      <c r="A2001" s="565">
        <v>1996</v>
      </c>
      <c r="B2001" s="560" t="s">
        <v>278</v>
      </c>
      <c r="C2001" s="560" t="s">
        <v>536</v>
      </c>
      <c r="D2001" s="560" t="s">
        <v>292</v>
      </c>
      <c r="E2001" s="560">
        <v>116</v>
      </c>
      <c r="F2001" s="560">
        <v>2</v>
      </c>
      <c r="G2001" s="560" t="s">
        <v>115</v>
      </c>
      <c r="H2001" s="566">
        <v>0</v>
      </c>
      <c r="I2001" s="567" t="s">
        <v>288</v>
      </c>
      <c r="J2001" s="568" t="s">
        <v>288</v>
      </c>
      <c r="L2001" s="373">
        <v>1</v>
      </c>
    </row>
    <row r="2002" spans="1:12" ht="21">
      <c r="A2002" s="565">
        <v>1997</v>
      </c>
      <c r="B2002" s="560" t="s">
        <v>278</v>
      </c>
      <c r="C2002" s="560" t="s">
        <v>536</v>
      </c>
      <c r="D2002" s="560" t="s">
        <v>291</v>
      </c>
      <c r="E2002" s="560">
        <v>127</v>
      </c>
      <c r="F2002" s="560">
        <v>4</v>
      </c>
      <c r="G2002" s="560" t="s">
        <v>115</v>
      </c>
      <c r="H2002" s="566">
        <v>0</v>
      </c>
      <c r="I2002" s="567" t="s">
        <v>489</v>
      </c>
      <c r="J2002" s="568" t="s">
        <v>288</v>
      </c>
      <c r="L2002" s="373">
        <v>1</v>
      </c>
    </row>
    <row r="2003" spans="1:12">
      <c r="A2003" s="565">
        <v>1998</v>
      </c>
      <c r="B2003" s="560" t="s">
        <v>278</v>
      </c>
      <c r="C2003" s="560" t="s">
        <v>536</v>
      </c>
      <c r="D2003" s="560" t="s">
        <v>292</v>
      </c>
      <c r="E2003" s="560">
        <v>132</v>
      </c>
      <c r="F2003" s="560">
        <v>3</v>
      </c>
      <c r="G2003" s="560" t="s">
        <v>286</v>
      </c>
      <c r="H2003" s="566">
        <v>3.7026647966339414</v>
      </c>
      <c r="I2003" s="567" t="s">
        <v>288</v>
      </c>
      <c r="J2003" s="568" t="s">
        <v>288</v>
      </c>
      <c r="L2003" s="373">
        <v>1</v>
      </c>
    </row>
    <row r="2004" spans="1:12">
      <c r="A2004" s="565">
        <v>1999</v>
      </c>
      <c r="B2004" s="560" t="s">
        <v>278</v>
      </c>
      <c r="C2004" s="560" t="s">
        <v>536</v>
      </c>
      <c r="D2004" s="560" t="s">
        <v>290</v>
      </c>
      <c r="E2004" s="560">
        <v>119</v>
      </c>
      <c r="F2004" s="560">
        <v>2</v>
      </c>
      <c r="G2004" s="560" t="s">
        <v>286</v>
      </c>
      <c r="H2004" s="566">
        <v>3.3380084151472653</v>
      </c>
      <c r="I2004" s="567" t="s">
        <v>288</v>
      </c>
      <c r="J2004" s="568" t="s">
        <v>288</v>
      </c>
      <c r="L2004" s="373">
        <v>1</v>
      </c>
    </row>
    <row r="2005" spans="1:12">
      <c r="A2005" s="565">
        <v>2000</v>
      </c>
      <c r="B2005" s="560" t="s">
        <v>278</v>
      </c>
      <c r="C2005" s="560" t="s">
        <v>536</v>
      </c>
      <c r="D2005" s="560" t="s">
        <v>291</v>
      </c>
      <c r="E2005" s="560">
        <v>148</v>
      </c>
      <c r="F2005" s="560">
        <v>3</v>
      </c>
      <c r="G2005" s="560" t="s">
        <v>286</v>
      </c>
      <c r="H2005" s="566">
        <v>4.1514726507713888</v>
      </c>
      <c r="I2005" s="567" t="s">
        <v>499</v>
      </c>
      <c r="J2005" s="568" t="s">
        <v>288</v>
      </c>
      <c r="L2005" s="373">
        <v>1</v>
      </c>
    </row>
    <row r="2006" spans="1:12">
      <c r="A2006" s="565">
        <v>2001</v>
      </c>
      <c r="B2006" s="560" t="s">
        <v>278</v>
      </c>
      <c r="C2006" s="560" t="s">
        <v>536</v>
      </c>
      <c r="D2006" s="560" t="s">
        <v>291</v>
      </c>
      <c r="E2006" s="560">
        <v>157</v>
      </c>
      <c r="F2006" s="560">
        <v>5</v>
      </c>
      <c r="G2006" s="560" t="s">
        <v>286</v>
      </c>
      <c r="H2006" s="566">
        <v>4.4039270687237027</v>
      </c>
      <c r="I2006" s="567" t="s">
        <v>288</v>
      </c>
      <c r="J2006" s="568" t="s">
        <v>288</v>
      </c>
      <c r="L2006" s="373">
        <v>1</v>
      </c>
    </row>
    <row r="2007" spans="1:12" ht="21">
      <c r="A2007" s="565">
        <v>2002</v>
      </c>
      <c r="B2007" s="560" t="s">
        <v>278</v>
      </c>
      <c r="C2007" s="560" t="s">
        <v>536</v>
      </c>
      <c r="D2007" s="560" t="s">
        <v>291</v>
      </c>
      <c r="E2007" s="560">
        <v>139</v>
      </c>
      <c r="F2007" s="560">
        <v>4</v>
      </c>
      <c r="G2007" s="560" t="s">
        <v>286</v>
      </c>
      <c r="H2007" s="566">
        <v>3.8990182328190746</v>
      </c>
      <c r="I2007" s="567" t="s">
        <v>489</v>
      </c>
      <c r="J2007" s="568" t="s">
        <v>288</v>
      </c>
      <c r="L2007" s="373">
        <v>1</v>
      </c>
    </row>
    <row r="2008" spans="1:12">
      <c r="A2008" s="565">
        <v>2003</v>
      </c>
      <c r="B2008" s="560" t="s">
        <v>278</v>
      </c>
      <c r="C2008" s="560" t="s">
        <v>517</v>
      </c>
      <c r="D2008" s="560" t="s">
        <v>291</v>
      </c>
      <c r="E2008" s="560">
        <v>140</v>
      </c>
      <c r="F2008" s="560">
        <v>3</v>
      </c>
      <c r="G2008" s="560" t="s">
        <v>286</v>
      </c>
      <c r="H2008" s="566">
        <v>3.9270687237026651</v>
      </c>
      <c r="I2008" s="567" t="s">
        <v>464</v>
      </c>
      <c r="J2008" s="568" t="s">
        <v>288</v>
      </c>
      <c r="L2008" s="373">
        <v>1</v>
      </c>
    </row>
    <row r="2009" spans="1:12" ht="21">
      <c r="A2009" s="565">
        <v>2004</v>
      </c>
      <c r="B2009" s="560" t="s">
        <v>278</v>
      </c>
      <c r="C2009" s="560" t="s">
        <v>517</v>
      </c>
      <c r="D2009" s="560" t="s">
        <v>291</v>
      </c>
      <c r="E2009" s="560">
        <v>168</v>
      </c>
      <c r="F2009" s="560">
        <v>7</v>
      </c>
      <c r="G2009" s="560" t="s">
        <v>286</v>
      </c>
      <c r="H2009" s="566">
        <v>4.7124824684431976</v>
      </c>
      <c r="I2009" s="567" t="s">
        <v>464</v>
      </c>
      <c r="J2009" s="568" t="s">
        <v>506</v>
      </c>
      <c r="L2009" s="373">
        <v>1</v>
      </c>
    </row>
    <row r="2010" spans="1:12">
      <c r="A2010" s="565">
        <v>2005</v>
      </c>
      <c r="B2010" s="560" t="s">
        <v>278</v>
      </c>
      <c r="C2010" s="560" t="s">
        <v>517</v>
      </c>
      <c r="D2010" s="560" t="s">
        <v>292</v>
      </c>
      <c r="E2010" s="560">
        <v>157</v>
      </c>
      <c r="F2010" s="560">
        <v>6</v>
      </c>
      <c r="G2010" s="560" t="s">
        <v>286</v>
      </c>
      <c r="H2010" s="566">
        <v>4.4039270687237027</v>
      </c>
      <c r="I2010" s="567" t="s">
        <v>464</v>
      </c>
      <c r="J2010" s="568" t="s">
        <v>288</v>
      </c>
      <c r="L2010" s="373">
        <v>1</v>
      </c>
    </row>
    <row r="2011" spans="1:12">
      <c r="A2011" s="565">
        <v>2006</v>
      </c>
      <c r="B2011" s="560" t="s">
        <v>278</v>
      </c>
      <c r="C2011" s="560" t="s">
        <v>517</v>
      </c>
      <c r="D2011" s="560" t="s">
        <v>291</v>
      </c>
      <c r="E2011" s="560">
        <v>152</v>
      </c>
      <c r="F2011" s="560">
        <v>5</v>
      </c>
      <c r="G2011" s="560" t="s">
        <v>286</v>
      </c>
      <c r="H2011" s="566">
        <v>4.2636746143057502</v>
      </c>
      <c r="I2011" s="567" t="s">
        <v>499</v>
      </c>
      <c r="J2011" s="568" t="s">
        <v>288</v>
      </c>
      <c r="L2011" s="373">
        <v>1</v>
      </c>
    </row>
    <row r="2012" spans="1:12">
      <c r="A2012" s="565">
        <v>2007</v>
      </c>
      <c r="B2012" s="560" t="s">
        <v>278</v>
      </c>
      <c r="C2012" s="560" t="s">
        <v>517</v>
      </c>
      <c r="D2012" s="560" t="s">
        <v>292</v>
      </c>
      <c r="E2012" s="560">
        <v>141</v>
      </c>
      <c r="F2012" s="560">
        <v>4</v>
      </c>
      <c r="G2012" s="560" t="s">
        <v>286</v>
      </c>
      <c r="H2012" s="566">
        <v>3.9551192145862553</v>
      </c>
      <c r="I2012" s="567" t="s">
        <v>464</v>
      </c>
      <c r="J2012" s="568" t="s">
        <v>288</v>
      </c>
      <c r="L2012" s="373">
        <v>1</v>
      </c>
    </row>
    <row r="2013" spans="1:12">
      <c r="A2013" s="565">
        <v>2008</v>
      </c>
      <c r="B2013" s="560" t="s">
        <v>278</v>
      </c>
      <c r="C2013" s="560" t="s">
        <v>517</v>
      </c>
      <c r="D2013" s="560" t="s">
        <v>292</v>
      </c>
      <c r="E2013" s="560">
        <v>138</v>
      </c>
      <c r="F2013" s="560">
        <v>3</v>
      </c>
      <c r="G2013" s="560" t="s">
        <v>286</v>
      </c>
      <c r="H2013" s="566">
        <v>3.870967741935484</v>
      </c>
      <c r="I2013" s="567" t="s">
        <v>464</v>
      </c>
      <c r="J2013" s="568" t="s">
        <v>288</v>
      </c>
      <c r="L2013" s="373">
        <v>1</v>
      </c>
    </row>
    <row r="2014" spans="1:12">
      <c r="A2014" s="565">
        <v>2009</v>
      </c>
      <c r="B2014" s="560" t="s">
        <v>278</v>
      </c>
      <c r="C2014" s="560" t="s">
        <v>517</v>
      </c>
      <c r="D2014" s="560" t="s">
        <v>292</v>
      </c>
      <c r="E2014" s="560">
        <v>147</v>
      </c>
      <c r="F2014" s="560">
        <v>5</v>
      </c>
      <c r="G2014" s="560" t="s">
        <v>286</v>
      </c>
      <c r="H2014" s="566">
        <v>4.1234221598877978</v>
      </c>
      <c r="I2014" s="567" t="s">
        <v>288</v>
      </c>
      <c r="J2014" s="568" t="s">
        <v>288</v>
      </c>
      <c r="L2014" s="373">
        <v>1</v>
      </c>
    </row>
    <row r="2015" spans="1:12">
      <c r="A2015" s="565">
        <v>2010</v>
      </c>
      <c r="B2015" s="560" t="s">
        <v>278</v>
      </c>
      <c r="C2015" s="560" t="s">
        <v>517</v>
      </c>
      <c r="D2015" s="560" t="s">
        <v>291</v>
      </c>
      <c r="E2015" s="560">
        <v>110</v>
      </c>
      <c r="F2015" s="560">
        <v>2</v>
      </c>
      <c r="G2015" s="560" t="s">
        <v>115</v>
      </c>
      <c r="H2015" s="566">
        <v>0</v>
      </c>
      <c r="I2015" s="567" t="s">
        <v>464</v>
      </c>
      <c r="J2015" s="568" t="s">
        <v>288</v>
      </c>
      <c r="L2015" s="373">
        <v>1</v>
      </c>
    </row>
    <row r="2016" spans="1:12">
      <c r="A2016" s="565">
        <v>2011</v>
      </c>
      <c r="B2016" s="560" t="s">
        <v>278</v>
      </c>
      <c r="C2016" s="560" t="s">
        <v>517</v>
      </c>
      <c r="D2016" s="560" t="s">
        <v>292</v>
      </c>
      <c r="E2016" s="560">
        <v>97</v>
      </c>
      <c r="F2016" s="560">
        <v>3</v>
      </c>
      <c r="G2016" s="560" t="s">
        <v>115</v>
      </c>
      <c r="H2016" s="566">
        <v>0</v>
      </c>
      <c r="I2016" s="567" t="s">
        <v>288</v>
      </c>
      <c r="J2016" s="568" t="s">
        <v>288</v>
      </c>
      <c r="L2016" s="373">
        <v>1</v>
      </c>
    </row>
    <row r="2017" spans="1:12">
      <c r="A2017" s="565">
        <v>2012</v>
      </c>
      <c r="B2017" s="560" t="s">
        <v>278</v>
      </c>
      <c r="C2017" s="560" t="s">
        <v>517</v>
      </c>
      <c r="D2017" s="560" t="s">
        <v>291</v>
      </c>
      <c r="E2017" s="560">
        <v>152</v>
      </c>
      <c r="F2017" s="560">
        <v>4</v>
      </c>
      <c r="G2017" s="560" t="s">
        <v>286</v>
      </c>
      <c r="H2017" s="566">
        <v>4.2636746143057502</v>
      </c>
      <c r="I2017" s="567" t="s">
        <v>464</v>
      </c>
      <c r="J2017" s="568" t="s">
        <v>288</v>
      </c>
      <c r="L2017" s="373">
        <v>1</v>
      </c>
    </row>
    <row r="2018" spans="1:12">
      <c r="A2018" s="565">
        <v>2013</v>
      </c>
      <c r="B2018" s="560" t="s">
        <v>278</v>
      </c>
      <c r="C2018" s="560" t="s">
        <v>517</v>
      </c>
      <c r="D2018" s="560" t="s">
        <v>292</v>
      </c>
      <c r="E2018" s="560">
        <v>148</v>
      </c>
      <c r="F2018" s="560">
        <v>5</v>
      </c>
      <c r="G2018" s="560" t="s">
        <v>286</v>
      </c>
      <c r="H2018" s="566">
        <v>4.1514726507713888</v>
      </c>
      <c r="I2018" s="567" t="s">
        <v>288</v>
      </c>
      <c r="J2018" s="568" t="s">
        <v>288</v>
      </c>
      <c r="L2018" s="373">
        <v>1</v>
      </c>
    </row>
    <row r="2019" spans="1:12">
      <c r="A2019" s="565">
        <v>2014</v>
      </c>
      <c r="B2019" s="560" t="s">
        <v>278</v>
      </c>
      <c r="C2019" s="560" t="s">
        <v>517</v>
      </c>
      <c r="D2019" s="560" t="s">
        <v>292</v>
      </c>
      <c r="E2019" s="560">
        <v>115</v>
      </c>
      <c r="F2019" s="560">
        <v>3</v>
      </c>
      <c r="G2019" s="560" t="s">
        <v>286</v>
      </c>
      <c r="H2019" s="566">
        <v>3.2258064516129035</v>
      </c>
      <c r="I2019" s="567" t="s">
        <v>288</v>
      </c>
      <c r="J2019" s="568" t="s">
        <v>288</v>
      </c>
      <c r="L2019" s="373">
        <v>1</v>
      </c>
    </row>
    <row r="2020" spans="1:12">
      <c r="A2020" s="565">
        <v>2015</v>
      </c>
      <c r="B2020" s="560" t="s">
        <v>278</v>
      </c>
      <c r="C2020" s="560" t="s">
        <v>517</v>
      </c>
      <c r="D2020" s="560" t="s">
        <v>292</v>
      </c>
      <c r="E2020" s="560">
        <v>116</v>
      </c>
      <c r="F2020" s="560">
        <v>2</v>
      </c>
      <c r="G2020" s="560" t="s">
        <v>286</v>
      </c>
      <c r="H2020" s="566">
        <v>3.2538569424964936</v>
      </c>
      <c r="I2020" s="567" t="s">
        <v>288</v>
      </c>
      <c r="J2020" s="568" t="s">
        <v>288</v>
      </c>
      <c r="L2020" s="373">
        <v>1</v>
      </c>
    </row>
    <row r="2021" spans="1:12" ht="21">
      <c r="A2021" s="565">
        <v>2016</v>
      </c>
      <c r="B2021" s="560" t="s">
        <v>278</v>
      </c>
      <c r="C2021" s="560" t="s">
        <v>517</v>
      </c>
      <c r="D2021" s="560" t="s">
        <v>291</v>
      </c>
      <c r="E2021" s="560">
        <v>127</v>
      </c>
      <c r="F2021" s="560">
        <v>4</v>
      </c>
      <c r="G2021" s="560" t="s">
        <v>286</v>
      </c>
      <c r="H2021" s="566">
        <v>3.562412342215989</v>
      </c>
      <c r="I2021" s="567" t="s">
        <v>489</v>
      </c>
      <c r="J2021" s="568" t="s">
        <v>288</v>
      </c>
      <c r="L2021" s="373">
        <v>1</v>
      </c>
    </row>
    <row r="2022" spans="1:12">
      <c r="A2022" s="565">
        <v>2017</v>
      </c>
      <c r="B2022" s="560" t="s">
        <v>278</v>
      </c>
      <c r="C2022" s="560" t="s">
        <v>517</v>
      </c>
      <c r="D2022" s="560" t="s">
        <v>292</v>
      </c>
      <c r="E2022" s="560">
        <v>132</v>
      </c>
      <c r="F2022" s="560">
        <v>3</v>
      </c>
      <c r="G2022" s="560" t="s">
        <v>286</v>
      </c>
      <c r="H2022" s="566">
        <v>3.7026647966339414</v>
      </c>
      <c r="I2022" s="567" t="s">
        <v>288</v>
      </c>
      <c r="J2022" s="568" t="s">
        <v>288</v>
      </c>
      <c r="L2022" s="373">
        <v>1</v>
      </c>
    </row>
    <row r="2023" spans="1:12">
      <c r="A2023" s="565">
        <v>2018</v>
      </c>
      <c r="B2023" s="560" t="s">
        <v>278</v>
      </c>
      <c r="C2023" s="560" t="s">
        <v>517</v>
      </c>
      <c r="D2023" s="560" t="s">
        <v>290</v>
      </c>
      <c r="E2023" s="560">
        <v>119</v>
      </c>
      <c r="F2023" s="560">
        <v>2</v>
      </c>
      <c r="G2023" s="560" t="s">
        <v>286</v>
      </c>
      <c r="H2023" s="566">
        <v>3.3380084151472653</v>
      </c>
      <c r="I2023" s="567" t="s">
        <v>288</v>
      </c>
      <c r="J2023" s="568" t="s">
        <v>288</v>
      </c>
      <c r="L2023" s="373">
        <v>1</v>
      </c>
    </row>
    <row r="2024" spans="1:12">
      <c r="A2024" s="565">
        <v>2019</v>
      </c>
      <c r="B2024" s="560" t="s">
        <v>278</v>
      </c>
      <c r="C2024" s="560" t="s">
        <v>517</v>
      </c>
      <c r="D2024" s="560" t="s">
        <v>291</v>
      </c>
      <c r="E2024" s="560">
        <v>148</v>
      </c>
      <c r="F2024" s="560">
        <v>3</v>
      </c>
      <c r="G2024" s="560" t="s">
        <v>286</v>
      </c>
      <c r="H2024" s="566">
        <v>4.1514726507713888</v>
      </c>
      <c r="I2024" s="567" t="s">
        <v>499</v>
      </c>
      <c r="J2024" s="568" t="s">
        <v>288</v>
      </c>
      <c r="L2024" s="373">
        <v>1</v>
      </c>
    </row>
    <row r="2025" spans="1:12">
      <c r="A2025" s="565">
        <v>2020</v>
      </c>
      <c r="B2025" s="560" t="s">
        <v>278</v>
      </c>
      <c r="C2025" s="560" t="s">
        <v>517</v>
      </c>
      <c r="D2025" s="560" t="s">
        <v>291</v>
      </c>
      <c r="E2025" s="560">
        <v>157</v>
      </c>
      <c r="F2025" s="560">
        <v>5</v>
      </c>
      <c r="G2025" s="560" t="s">
        <v>286</v>
      </c>
      <c r="H2025" s="566">
        <v>4.4039270687237027</v>
      </c>
      <c r="I2025" s="567" t="s">
        <v>288</v>
      </c>
      <c r="J2025" s="568" t="s">
        <v>288</v>
      </c>
      <c r="L2025" s="373">
        <v>1</v>
      </c>
    </row>
    <row r="2026" spans="1:12" ht="21">
      <c r="A2026" s="565">
        <v>2021</v>
      </c>
      <c r="B2026" s="560" t="s">
        <v>278</v>
      </c>
      <c r="C2026" s="560" t="s">
        <v>517</v>
      </c>
      <c r="D2026" s="560" t="s">
        <v>291</v>
      </c>
      <c r="E2026" s="560">
        <v>139</v>
      </c>
      <c r="F2026" s="560">
        <v>4</v>
      </c>
      <c r="G2026" s="560" t="s">
        <v>286</v>
      </c>
      <c r="H2026" s="566">
        <v>3.8990182328190746</v>
      </c>
      <c r="I2026" s="567" t="s">
        <v>489</v>
      </c>
      <c r="J2026" s="568" t="s">
        <v>288</v>
      </c>
      <c r="L2026" s="373">
        <v>1</v>
      </c>
    </row>
    <row r="2027" spans="1:12">
      <c r="A2027" s="565">
        <v>2022</v>
      </c>
      <c r="B2027" s="560" t="s">
        <v>278</v>
      </c>
      <c r="C2027" s="560" t="s">
        <v>517</v>
      </c>
      <c r="D2027" s="560" t="s">
        <v>291</v>
      </c>
      <c r="E2027" s="560">
        <v>140</v>
      </c>
      <c r="F2027" s="560">
        <v>3</v>
      </c>
      <c r="G2027" s="560" t="s">
        <v>286</v>
      </c>
      <c r="H2027" s="566">
        <v>3.9270687237026651</v>
      </c>
      <c r="I2027" s="567" t="s">
        <v>464</v>
      </c>
      <c r="J2027" s="568" t="s">
        <v>288</v>
      </c>
      <c r="L2027" s="373">
        <v>1</v>
      </c>
    </row>
    <row r="2028" spans="1:12" ht="10.8" thickBot="1">
      <c r="A2028" s="578" t="s">
        <v>7</v>
      </c>
      <c r="B2028" s="579"/>
      <c r="C2028" s="579"/>
      <c r="D2028" s="579"/>
      <c r="E2028" s="580"/>
      <c r="F2028" s="580"/>
      <c r="G2028" s="579"/>
      <c r="H2028" s="579"/>
      <c r="I2028" s="581"/>
      <c r="J2028" s="582"/>
    </row>
    <row r="2029" spans="1:12">
      <c r="A2029" s="583"/>
      <c r="B2029" s="583"/>
      <c r="C2029" s="584"/>
      <c r="E2029" s="573"/>
      <c r="F2029" s="573"/>
      <c r="I2029" s="585"/>
      <c r="L2029" s="373">
        <f>SUBTOTAL(9,L6:L2028)</f>
        <v>2022</v>
      </c>
    </row>
    <row r="2030" spans="1:12">
      <c r="A2030" s="573" t="s">
        <v>267</v>
      </c>
      <c r="B2030" s="583"/>
      <c r="C2030" s="584"/>
      <c r="E2030" s="573"/>
      <c r="F2030" s="573"/>
    </row>
    <row r="2031" spans="1:12">
      <c r="A2031" s="573" t="s">
        <v>270</v>
      </c>
      <c r="B2031" s="583"/>
      <c r="C2031" s="584"/>
      <c r="E2031" s="573"/>
      <c r="F2031" s="573"/>
    </row>
    <row r="2032" spans="1:12" ht="11.7">
      <c r="A2032" s="573" t="s">
        <v>539</v>
      </c>
      <c r="B2032" s="583"/>
      <c r="C2032" s="584"/>
      <c r="E2032" s="586" t="s">
        <v>286</v>
      </c>
      <c r="F2032" s="586"/>
      <c r="G2032" s="587">
        <f>SUMIF(G6:G2027,"węgiel",L6:L2027)</f>
        <v>1280</v>
      </c>
      <c r="H2032" s="588">
        <f>G2032/A2027</f>
        <v>0.63303659742828877</v>
      </c>
      <c r="I2032" s="572">
        <v>1280</v>
      </c>
      <c r="J2032" s="710">
        <v>0.63303659742828877</v>
      </c>
    </row>
    <row r="2033" spans="1:10" ht="11.7">
      <c r="A2033" s="573" t="s">
        <v>540</v>
      </c>
      <c r="B2033" s="583"/>
      <c r="C2033" s="584"/>
      <c r="E2033" s="586" t="s">
        <v>287</v>
      </c>
      <c r="F2033" s="586"/>
      <c r="G2033" s="587">
        <f>SUMIF(G6:G2027,"prąd",L6:L2027)</f>
        <v>37</v>
      </c>
      <c r="H2033" s="588">
        <f>G2033/A2027</f>
        <v>1.8298714144411473E-2</v>
      </c>
      <c r="I2033" s="572">
        <v>37</v>
      </c>
      <c r="J2033" s="710">
        <v>1.8298714144411473E-2</v>
      </c>
    </row>
    <row r="2034" spans="1:10" ht="11.7">
      <c r="A2034" s="573" t="s">
        <v>541</v>
      </c>
      <c r="B2034" s="589"/>
      <c r="C2034" s="572"/>
      <c r="E2034" s="586" t="s">
        <v>115</v>
      </c>
      <c r="F2034" s="586"/>
      <c r="G2034" s="587">
        <f>SUMIF(G6:G2027,"biomasa",L6:L2027)</f>
        <v>31</v>
      </c>
      <c r="H2034" s="588">
        <f>G2034/A2027</f>
        <v>1.5331355093966371E-2</v>
      </c>
      <c r="I2034" s="572">
        <v>31</v>
      </c>
      <c r="J2034" s="710">
        <v>1.5331355093966371E-2</v>
      </c>
    </row>
    <row r="2035" spans="1:10">
      <c r="A2035" s="573" t="s">
        <v>271</v>
      </c>
      <c r="B2035" s="589"/>
      <c r="C2035" s="572"/>
      <c r="E2035" s="586" t="s">
        <v>34</v>
      </c>
      <c r="F2035" s="586"/>
      <c r="G2035" s="587">
        <f>SUMIF(G6:G2027,"gaz",L6:L2027)</f>
        <v>526</v>
      </c>
      <c r="H2035" s="588">
        <f>G2035/A2027</f>
        <v>0.26013847675568746</v>
      </c>
      <c r="I2035" s="572">
        <v>526</v>
      </c>
      <c r="J2035" s="710">
        <v>0.26013847675568746</v>
      </c>
    </row>
    <row r="2036" spans="1:10" ht="11.7">
      <c r="A2036" s="573" t="s">
        <v>542</v>
      </c>
      <c r="B2036" s="589"/>
      <c r="C2036" s="572"/>
      <c r="E2036" s="586" t="s">
        <v>398</v>
      </c>
      <c r="F2036" s="586"/>
      <c r="G2036" s="587">
        <f>SUMIF(G7:G2028,"inst.c.o.",L7:L2028)</f>
        <v>98</v>
      </c>
      <c r="H2036" s="588">
        <f>G2036/A2027</f>
        <v>4.8466864490603362E-2</v>
      </c>
      <c r="I2036" s="572">
        <v>148</v>
      </c>
      <c r="J2036" s="710">
        <v>7.3194856577645892E-2</v>
      </c>
    </row>
    <row r="2037" spans="1:10">
      <c r="A2037" s="573" t="s">
        <v>272</v>
      </c>
      <c r="B2037" s="589"/>
      <c r="C2037" s="572"/>
      <c r="E2037" s="573"/>
      <c r="F2037" s="573"/>
      <c r="G2037" s="594">
        <f>SUBTOTAL(9,G2032:G2036)</f>
        <v>1972</v>
      </c>
      <c r="H2037" s="593">
        <f>SUBTOTAL(9,H2032:H2036)</f>
        <v>0.97527200791295732</v>
      </c>
      <c r="I2037" s="572">
        <v>2022</v>
      </c>
      <c r="J2037" s="710">
        <v>0.99999999999999989</v>
      </c>
    </row>
    <row r="2038" spans="1:10">
      <c r="A2038" s="573" t="s">
        <v>273</v>
      </c>
    </row>
    <row r="2040" spans="1:10">
      <c r="A2040" s="573" t="s">
        <v>429</v>
      </c>
      <c r="C2040" s="571">
        <v>21335</v>
      </c>
    </row>
    <row r="2041" spans="1:10">
      <c r="A2041" s="573" t="s">
        <v>430</v>
      </c>
      <c r="C2041" s="590">
        <f>C2042*1.77</f>
        <v>4332.96</v>
      </c>
    </row>
    <row r="2042" spans="1:10">
      <c r="A2042" s="573" t="s">
        <v>431</v>
      </c>
      <c r="C2042" s="571">
        <v>2448</v>
      </c>
    </row>
    <row r="2043" spans="1:10">
      <c r="A2043" s="573" t="s">
        <v>432</v>
      </c>
      <c r="C2043" s="571">
        <v>0.5</v>
      </c>
    </row>
    <row r="2044" spans="1:10">
      <c r="A2044" s="573" t="s">
        <v>433</v>
      </c>
      <c r="C2044" s="571">
        <v>0.05</v>
      </c>
    </row>
    <row r="2045" spans="1:10">
      <c r="A2045" s="573" t="s">
        <v>434</v>
      </c>
      <c r="C2045" s="571">
        <v>0.95</v>
      </c>
    </row>
    <row r="2046" spans="1:10">
      <c r="A2046" s="573" t="s">
        <v>435</v>
      </c>
      <c r="C2046" s="571">
        <v>353</v>
      </c>
    </row>
  </sheetData>
  <autoFilter ref="A5:J2038" xr:uid="{00000000-0009-0000-0000-000001000000}"/>
  <mergeCells count="2">
    <mergeCell ref="A4:J4"/>
    <mergeCell ref="A2:J2"/>
  </mergeCells>
  <pageMargins left="0.7" right="0.7" top="0.75" bottom="0.75" header="0.3" footer="0.3"/>
  <pageSetup paperSize="9" scale="45" orientation="portrait" horizontalDpi="4294967295" verticalDpi="4294967295" r:id="rId1"/>
  <rowBreaks count="1" manualBreakCount="1">
    <brk id="1952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AL202"/>
  <sheetViews>
    <sheetView topLeftCell="A126" zoomScale="80" zoomScaleNormal="80" workbookViewId="0">
      <selection activeCell="C132" sqref="C132"/>
    </sheetView>
  </sheetViews>
  <sheetFormatPr defaultRowHeight="13.8"/>
  <cols>
    <col min="2" max="2" width="14.6171875" customWidth="1"/>
    <col min="3" max="3" width="21.80859375" customWidth="1"/>
    <col min="4" max="4" width="10.90234375" bestFit="1" customWidth="1"/>
    <col min="5" max="5" width="13" customWidth="1"/>
    <col min="6" max="6" width="10.1875" customWidth="1"/>
    <col min="7" max="7" width="10.37890625" customWidth="1"/>
    <col min="8" max="8" width="11.37890625" bestFit="1" customWidth="1"/>
    <col min="9" max="9" width="10.90234375" customWidth="1"/>
    <col min="14" max="14" width="11" customWidth="1"/>
  </cols>
  <sheetData>
    <row r="1" spans="1:38" s="345" customFormat="1" ht="12.9">
      <c r="B1" s="346"/>
    </row>
    <row r="2" spans="1:38" s="371" customFormat="1" ht="14.1">
      <c r="A2" s="370" t="s">
        <v>314</v>
      </c>
      <c r="B2" s="370"/>
    </row>
    <row r="3" spans="1:38" s="345" customFormat="1" ht="27.6" customHeight="1">
      <c r="B3" s="346"/>
    </row>
    <row r="4" spans="1:38" s="380" customFormat="1" ht="10.5">
      <c r="B4" s="828" t="s">
        <v>327</v>
      </c>
      <c r="C4" s="829"/>
      <c r="D4" s="829"/>
      <c r="E4" s="829"/>
      <c r="F4" s="829"/>
      <c r="G4" s="830"/>
      <c r="H4" s="351"/>
      <c r="I4" s="351"/>
      <c r="J4" s="352"/>
      <c r="K4" s="352"/>
      <c r="L4" s="352"/>
      <c r="M4" s="352"/>
      <c r="N4" s="352"/>
      <c r="O4" s="352"/>
      <c r="P4" s="352"/>
      <c r="Q4" s="352"/>
      <c r="R4" s="352"/>
      <c r="S4" s="352"/>
      <c r="T4" s="352"/>
      <c r="U4" s="352"/>
      <c r="V4" s="352"/>
      <c r="W4" s="352"/>
      <c r="X4" s="352"/>
      <c r="Y4" s="352"/>
      <c r="Z4" s="352"/>
      <c r="AA4" s="352"/>
      <c r="AB4" s="352"/>
      <c r="AC4" s="351"/>
      <c r="AD4" s="351"/>
      <c r="AE4" s="351"/>
      <c r="AF4" s="351"/>
      <c r="AG4" s="351"/>
      <c r="AH4" s="351"/>
      <c r="AI4" s="351"/>
      <c r="AJ4" s="351"/>
      <c r="AK4" s="351"/>
      <c r="AL4" s="351"/>
    </row>
    <row r="5" spans="1:38" s="380" customFormat="1" ht="21">
      <c r="B5" s="353" t="s">
        <v>306</v>
      </c>
      <c r="C5" s="353">
        <v>2015</v>
      </c>
      <c r="D5" s="353">
        <v>2016</v>
      </c>
      <c r="E5" s="353">
        <v>2017</v>
      </c>
      <c r="F5" s="353">
        <v>2018</v>
      </c>
      <c r="G5" s="353">
        <v>2019</v>
      </c>
      <c r="H5" s="353">
        <v>2020</v>
      </c>
      <c r="I5" s="353">
        <v>2021</v>
      </c>
      <c r="J5" s="353">
        <v>2022</v>
      </c>
      <c r="K5" s="353">
        <v>2023</v>
      </c>
      <c r="L5" s="353">
        <v>2024</v>
      </c>
      <c r="M5" s="353">
        <v>2025</v>
      </c>
      <c r="N5" s="353">
        <v>2026</v>
      </c>
      <c r="O5" s="353">
        <v>2027</v>
      </c>
      <c r="P5" s="353">
        <v>2028</v>
      </c>
      <c r="Q5" s="353">
        <v>2029</v>
      </c>
      <c r="R5" s="353">
        <v>2030</v>
      </c>
      <c r="S5" s="353">
        <v>2031</v>
      </c>
      <c r="T5" s="353">
        <v>2032</v>
      </c>
      <c r="U5" s="353">
        <v>2033</v>
      </c>
      <c r="V5" s="353">
        <v>2034</v>
      </c>
      <c r="W5" s="353">
        <v>2035</v>
      </c>
      <c r="X5" s="353">
        <v>2036</v>
      </c>
      <c r="Y5" s="353">
        <v>2037</v>
      </c>
      <c r="Z5" s="353">
        <v>2038</v>
      </c>
      <c r="AA5" s="353">
        <v>2039</v>
      </c>
      <c r="AB5" s="353">
        <v>2040</v>
      </c>
      <c r="AC5" s="353">
        <v>2041</v>
      </c>
      <c r="AD5" s="353">
        <v>2042</v>
      </c>
      <c r="AE5" s="353">
        <v>2043</v>
      </c>
      <c r="AF5" s="353">
        <v>2044</v>
      </c>
      <c r="AG5" s="353">
        <v>2045</v>
      </c>
    </row>
    <row r="6" spans="1:38" s="380" customFormat="1" ht="15.75" customHeight="1">
      <c r="B6" s="354" t="s">
        <v>307</v>
      </c>
      <c r="C6" s="355">
        <v>103.4</v>
      </c>
      <c r="D6" s="356">
        <v>103.8</v>
      </c>
      <c r="E6" s="356">
        <v>103.9</v>
      </c>
      <c r="F6" s="356">
        <v>104</v>
      </c>
      <c r="G6" s="356">
        <v>103.9</v>
      </c>
      <c r="H6" s="356">
        <v>103.8</v>
      </c>
      <c r="I6" s="357">
        <v>103.7</v>
      </c>
      <c r="J6" s="358">
        <v>103.5</v>
      </c>
      <c r="K6" s="358">
        <v>103.3</v>
      </c>
      <c r="L6" s="358">
        <v>103.1</v>
      </c>
      <c r="M6" s="358">
        <v>103</v>
      </c>
      <c r="N6" s="358">
        <v>103</v>
      </c>
      <c r="O6" s="358">
        <v>103</v>
      </c>
      <c r="P6" s="358">
        <v>103</v>
      </c>
      <c r="Q6" s="358">
        <v>102.8</v>
      </c>
      <c r="R6" s="358">
        <v>102.8</v>
      </c>
      <c r="S6" s="358">
        <v>102.8</v>
      </c>
      <c r="T6" s="358">
        <v>102.7</v>
      </c>
      <c r="U6" s="358">
        <v>102.7</v>
      </c>
      <c r="V6" s="358">
        <v>102.6</v>
      </c>
      <c r="W6" s="358">
        <v>102.5</v>
      </c>
      <c r="X6" s="358">
        <v>102.4</v>
      </c>
      <c r="Y6" s="358">
        <v>102.4</v>
      </c>
      <c r="Z6" s="358">
        <v>102.4</v>
      </c>
      <c r="AA6" s="358">
        <v>102.3</v>
      </c>
      <c r="AB6" s="358">
        <v>102.3</v>
      </c>
      <c r="AC6" s="358">
        <v>102.2</v>
      </c>
      <c r="AD6" s="358">
        <v>102.1</v>
      </c>
      <c r="AE6" s="358">
        <v>102</v>
      </c>
      <c r="AF6" s="358">
        <v>102</v>
      </c>
      <c r="AG6" s="358">
        <v>101.9</v>
      </c>
    </row>
    <row r="7" spans="1:38" s="380" customFormat="1" ht="10.199999999999999">
      <c r="B7" s="354" t="s">
        <v>308</v>
      </c>
      <c r="C7" s="355">
        <v>99.8</v>
      </c>
      <c r="D7" s="356">
        <v>101.7</v>
      </c>
      <c r="E7" s="356">
        <v>101.8</v>
      </c>
      <c r="F7" s="356">
        <v>102.5</v>
      </c>
      <c r="G7" s="356">
        <v>102.5</v>
      </c>
      <c r="H7" s="356">
        <v>102.5</v>
      </c>
      <c r="I7" s="359">
        <v>102.5</v>
      </c>
      <c r="J7" s="359">
        <v>102.5</v>
      </c>
      <c r="K7" s="359">
        <v>102.5</v>
      </c>
      <c r="L7" s="359">
        <v>102.5</v>
      </c>
      <c r="M7" s="359">
        <v>102.5</v>
      </c>
      <c r="N7" s="359">
        <v>102.5</v>
      </c>
      <c r="O7" s="359">
        <v>102.5</v>
      </c>
      <c r="P7" s="359">
        <v>102.5</v>
      </c>
      <c r="Q7" s="359">
        <v>102.5</v>
      </c>
      <c r="R7" s="359">
        <v>102.5</v>
      </c>
      <c r="S7" s="359">
        <v>102.5</v>
      </c>
      <c r="T7" s="359">
        <v>102.5</v>
      </c>
      <c r="U7" s="359">
        <v>102.5</v>
      </c>
      <c r="V7" s="359">
        <v>102.5</v>
      </c>
      <c r="W7" s="359">
        <v>102.5</v>
      </c>
      <c r="X7" s="359">
        <v>102.5</v>
      </c>
      <c r="Y7" s="359">
        <v>102.5</v>
      </c>
      <c r="Z7" s="359">
        <v>102.5</v>
      </c>
      <c r="AA7" s="359">
        <v>102.5</v>
      </c>
      <c r="AB7" s="359">
        <v>102.5</v>
      </c>
      <c r="AC7" s="359">
        <v>102.5</v>
      </c>
      <c r="AD7" s="359">
        <v>102.5</v>
      </c>
      <c r="AE7" s="359">
        <v>102.5</v>
      </c>
      <c r="AF7" s="359">
        <v>102.5</v>
      </c>
      <c r="AG7" s="359">
        <v>102.5</v>
      </c>
    </row>
    <row r="8" spans="1:38" s="380" customFormat="1" ht="32.4" customHeight="1">
      <c r="B8" s="354" t="s">
        <v>309</v>
      </c>
      <c r="C8" s="355">
        <v>8.1999999999999993</v>
      </c>
      <c r="D8" s="356">
        <v>7.6</v>
      </c>
      <c r="E8" s="356">
        <v>7</v>
      </c>
      <c r="F8" s="356">
        <v>6.5</v>
      </c>
      <c r="G8" s="356">
        <v>6.4</v>
      </c>
      <c r="H8" s="356">
        <v>6.4</v>
      </c>
      <c r="I8" s="360">
        <v>6.3</v>
      </c>
      <c r="J8" s="360">
        <v>6.3</v>
      </c>
      <c r="K8" s="360">
        <v>6.2</v>
      </c>
      <c r="L8" s="360">
        <v>6.2</v>
      </c>
      <c r="M8" s="360">
        <v>6.1</v>
      </c>
      <c r="N8" s="360">
        <v>6.1</v>
      </c>
      <c r="O8" s="361">
        <v>6</v>
      </c>
      <c r="P8" s="361">
        <v>6</v>
      </c>
      <c r="Q8" s="361">
        <v>6</v>
      </c>
      <c r="R8" s="361">
        <v>6</v>
      </c>
      <c r="S8" s="361">
        <v>6</v>
      </c>
      <c r="T8" s="361">
        <v>6</v>
      </c>
      <c r="U8" s="361">
        <v>6</v>
      </c>
      <c r="V8" s="361">
        <v>6</v>
      </c>
      <c r="W8" s="361">
        <v>6</v>
      </c>
      <c r="X8" s="361">
        <v>6</v>
      </c>
      <c r="Y8" s="361">
        <v>6</v>
      </c>
      <c r="Z8" s="361">
        <v>6</v>
      </c>
      <c r="AA8" s="361">
        <v>6</v>
      </c>
      <c r="AB8" s="361">
        <v>6</v>
      </c>
      <c r="AC8" s="361">
        <v>6</v>
      </c>
      <c r="AD8" s="361">
        <v>6</v>
      </c>
      <c r="AE8" s="361">
        <v>6</v>
      </c>
      <c r="AF8" s="361">
        <v>6</v>
      </c>
      <c r="AG8" s="361">
        <v>6</v>
      </c>
    </row>
    <row r="9" spans="1:38" s="380" customFormat="1" ht="20.399999999999999">
      <c r="B9" s="354" t="s">
        <v>310</v>
      </c>
      <c r="C9" s="362">
        <v>103.6</v>
      </c>
      <c r="D9" s="363">
        <v>101.9</v>
      </c>
      <c r="E9" s="363">
        <v>101.9</v>
      </c>
      <c r="F9" s="363">
        <v>102.1</v>
      </c>
      <c r="G9" s="363">
        <v>102.8</v>
      </c>
      <c r="H9" s="363">
        <v>103.1</v>
      </c>
      <c r="I9" s="364">
        <v>103.2</v>
      </c>
      <c r="J9" s="364">
        <v>103.4</v>
      </c>
      <c r="K9" s="364">
        <v>103.3</v>
      </c>
      <c r="L9" s="364">
        <v>103.3</v>
      </c>
      <c r="M9" s="364">
        <v>103.3</v>
      </c>
      <c r="N9" s="364">
        <v>103.3</v>
      </c>
      <c r="O9" s="364">
        <v>103.3</v>
      </c>
      <c r="P9" s="364">
        <v>103.3</v>
      </c>
      <c r="Q9" s="364">
        <v>103.3</v>
      </c>
      <c r="R9" s="364">
        <v>103.3</v>
      </c>
      <c r="S9" s="364">
        <v>103.1</v>
      </c>
      <c r="T9" s="364">
        <v>103.1</v>
      </c>
      <c r="U9" s="364">
        <v>103.1</v>
      </c>
      <c r="V9" s="365">
        <v>103</v>
      </c>
      <c r="W9" s="365">
        <v>103</v>
      </c>
      <c r="X9" s="364">
        <v>103</v>
      </c>
      <c r="Y9" s="364">
        <v>103</v>
      </c>
      <c r="Z9" s="364">
        <v>102.9</v>
      </c>
      <c r="AA9" s="364">
        <v>102.9</v>
      </c>
      <c r="AB9" s="364">
        <v>102.9</v>
      </c>
      <c r="AC9" s="364">
        <v>102.8</v>
      </c>
      <c r="AD9" s="364">
        <v>102.8</v>
      </c>
      <c r="AE9" s="364">
        <v>102.8</v>
      </c>
      <c r="AF9" s="364">
        <v>102.8</v>
      </c>
      <c r="AG9" s="364">
        <v>102.7</v>
      </c>
    </row>
    <row r="10" spans="1:38" s="380" customFormat="1" ht="10.5">
      <c r="B10" s="821" t="s">
        <v>311</v>
      </c>
      <c r="C10" s="821"/>
      <c r="D10" s="821"/>
      <c r="E10" s="821"/>
      <c r="F10" s="821"/>
      <c r="G10" s="821"/>
      <c r="H10" s="821"/>
      <c r="I10" s="821"/>
      <c r="J10" s="352"/>
      <c r="K10" s="352"/>
      <c r="L10" s="352"/>
      <c r="M10" s="352"/>
      <c r="N10" s="352"/>
      <c r="O10" s="352"/>
      <c r="P10" s="352"/>
      <c r="Q10" s="352"/>
      <c r="R10" s="352"/>
      <c r="S10" s="352"/>
      <c r="T10" s="352"/>
      <c r="U10" s="352"/>
      <c r="V10" s="352"/>
      <c r="W10" s="352"/>
      <c r="X10" s="352"/>
      <c r="Y10" s="352"/>
      <c r="Z10" s="352"/>
      <c r="AA10" s="352"/>
      <c r="AB10" s="352"/>
      <c r="AC10" s="352"/>
      <c r="AD10" s="352"/>
      <c r="AE10" s="352"/>
      <c r="AF10" s="352"/>
      <c r="AG10" s="352"/>
    </row>
    <row r="11" spans="1:38" s="380" customFormat="1" ht="10.5">
      <c r="B11" s="366"/>
      <c r="C11" s="353">
        <f>C5</f>
        <v>2015</v>
      </c>
      <c r="D11" s="353">
        <f t="shared" ref="D11:AG11" si="0">D5</f>
        <v>2016</v>
      </c>
      <c r="E11" s="353">
        <f t="shared" si="0"/>
        <v>2017</v>
      </c>
      <c r="F11" s="353">
        <f t="shared" si="0"/>
        <v>2018</v>
      </c>
      <c r="G11" s="353">
        <f t="shared" si="0"/>
        <v>2019</v>
      </c>
      <c r="H11" s="353">
        <f t="shared" si="0"/>
        <v>2020</v>
      </c>
      <c r="I11" s="353">
        <f t="shared" si="0"/>
        <v>2021</v>
      </c>
      <c r="J11" s="353">
        <f t="shared" si="0"/>
        <v>2022</v>
      </c>
      <c r="K11" s="353">
        <f t="shared" si="0"/>
        <v>2023</v>
      </c>
      <c r="L11" s="353">
        <f t="shared" si="0"/>
        <v>2024</v>
      </c>
      <c r="M11" s="353">
        <f t="shared" si="0"/>
        <v>2025</v>
      </c>
      <c r="N11" s="353">
        <f t="shared" si="0"/>
        <v>2026</v>
      </c>
      <c r="O11" s="353">
        <f t="shared" si="0"/>
        <v>2027</v>
      </c>
      <c r="P11" s="353">
        <f t="shared" si="0"/>
        <v>2028</v>
      </c>
      <c r="Q11" s="353">
        <f t="shared" si="0"/>
        <v>2029</v>
      </c>
      <c r="R11" s="353">
        <f t="shared" si="0"/>
        <v>2030</v>
      </c>
      <c r="S11" s="353">
        <f t="shared" si="0"/>
        <v>2031</v>
      </c>
      <c r="T11" s="353">
        <f t="shared" si="0"/>
        <v>2032</v>
      </c>
      <c r="U11" s="353">
        <f t="shared" si="0"/>
        <v>2033</v>
      </c>
      <c r="V11" s="353">
        <f t="shared" si="0"/>
        <v>2034</v>
      </c>
      <c r="W11" s="353">
        <f t="shared" si="0"/>
        <v>2035</v>
      </c>
      <c r="X11" s="353">
        <f t="shared" si="0"/>
        <v>2036</v>
      </c>
      <c r="Y11" s="353">
        <f t="shared" si="0"/>
        <v>2037</v>
      </c>
      <c r="Z11" s="353">
        <f t="shared" si="0"/>
        <v>2038</v>
      </c>
      <c r="AA11" s="353">
        <f t="shared" si="0"/>
        <v>2039</v>
      </c>
      <c r="AB11" s="353">
        <f t="shared" si="0"/>
        <v>2040</v>
      </c>
      <c r="AC11" s="353">
        <f t="shared" si="0"/>
        <v>2041</v>
      </c>
      <c r="AD11" s="353">
        <f t="shared" si="0"/>
        <v>2042</v>
      </c>
      <c r="AE11" s="353">
        <f t="shared" si="0"/>
        <v>2043</v>
      </c>
      <c r="AF11" s="353">
        <f t="shared" si="0"/>
        <v>2044</v>
      </c>
      <c r="AG11" s="353">
        <f t="shared" si="0"/>
        <v>2045</v>
      </c>
    </row>
    <row r="12" spans="1:38" s="380" customFormat="1" ht="10.199999999999999">
      <c r="B12" s="366" t="s">
        <v>312</v>
      </c>
      <c r="C12" s="356">
        <v>4.1500000000000004</v>
      </c>
      <c r="D12" s="356">
        <v>4.03</v>
      </c>
      <c r="E12" s="356">
        <v>3.91</v>
      </c>
      <c r="F12" s="356">
        <v>3.79</v>
      </c>
      <c r="G12" s="356">
        <v>3.74</v>
      </c>
      <c r="H12" s="356">
        <v>3.74</v>
      </c>
      <c r="I12" s="356">
        <v>3.74</v>
      </c>
      <c r="J12" s="367">
        <v>3.74</v>
      </c>
      <c r="K12" s="367">
        <v>3.74</v>
      </c>
      <c r="L12" s="367">
        <v>3.74</v>
      </c>
      <c r="M12" s="367">
        <v>3.74</v>
      </c>
      <c r="N12" s="367">
        <v>3.74</v>
      </c>
      <c r="O12" s="367">
        <v>3.74</v>
      </c>
      <c r="P12" s="367">
        <v>3.74</v>
      </c>
      <c r="Q12" s="367">
        <v>3.74</v>
      </c>
      <c r="R12" s="367">
        <v>3.74</v>
      </c>
      <c r="S12" s="367">
        <v>3.74</v>
      </c>
      <c r="T12" s="367">
        <v>3.74</v>
      </c>
      <c r="U12" s="367">
        <v>3.74</v>
      </c>
      <c r="V12" s="367">
        <v>3.74</v>
      </c>
      <c r="W12" s="367">
        <v>3.74</v>
      </c>
      <c r="X12" s="367">
        <v>3.74</v>
      </c>
      <c r="Y12" s="367">
        <v>3.74</v>
      </c>
      <c r="Z12" s="367">
        <v>3.74</v>
      </c>
      <c r="AA12" s="367">
        <v>3.74</v>
      </c>
      <c r="AB12" s="367">
        <v>3.74</v>
      </c>
      <c r="AC12" s="367">
        <v>3.74</v>
      </c>
      <c r="AD12" s="367">
        <v>3.74</v>
      </c>
      <c r="AE12" s="367">
        <v>3.74</v>
      </c>
      <c r="AF12" s="367">
        <v>3.74</v>
      </c>
      <c r="AG12" s="367">
        <v>3.74</v>
      </c>
    </row>
    <row r="13" spans="1:38" s="380" customFormat="1" ht="10.199999999999999">
      <c r="B13" s="366" t="s">
        <v>313</v>
      </c>
      <c r="C13" s="363">
        <v>1.81</v>
      </c>
      <c r="D13" s="363">
        <v>1.71</v>
      </c>
      <c r="E13" s="363">
        <v>2.39</v>
      </c>
      <c r="F13" s="363">
        <v>3.41</v>
      </c>
      <c r="G13" s="363">
        <v>4.55</v>
      </c>
      <c r="H13" s="363">
        <v>5.12</v>
      </c>
      <c r="I13" s="368">
        <v>5.2</v>
      </c>
      <c r="J13" s="369">
        <v>5.0999999999999996</v>
      </c>
      <c r="K13" s="369">
        <v>5</v>
      </c>
      <c r="L13" s="369">
        <v>4.9000000000000004</v>
      </c>
      <c r="M13" s="369">
        <v>4.9000000000000004</v>
      </c>
      <c r="N13" s="369">
        <v>4.9000000000000004</v>
      </c>
      <c r="O13" s="369">
        <v>4.9000000000000004</v>
      </c>
      <c r="P13" s="369">
        <v>4.9000000000000004</v>
      </c>
      <c r="Q13" s="369">
        <v>4.8</v>
      </c>
      <c r="R13" s="369">
        <v>4.8</v>
      </c>
      <c r="S13" s="369">
        <v>4.8</v>
      </c>
      <c r="T13" s="369">
        <v>4.8</v>
      </c>
      <c r="U13" s="369">
        <v>4.8</v>
      </c>
      <c r="V13" s="369">
        <v>4.7</v>
      </c>
      <c r="W13" s="369">
        <v>4.7</v>
      </c>
      <c r="X13" s="369">
        <v>4.7</v>
      </c>
      <c r="Y13" s="369">
        <v>4.5999999999999996</v>
      </c>
      <c r="Z13" s="369">
        <v>4.5999999999999996</v>
      </c>
      <c r="AA13" s="369">
        <v>4.5999999999999996</v>
      </c>
      <c r="AB13" s="369">
        <v>4.5999999999999996</v>
      </c>
      <c r="AC13" s="369">
        <v>4.5</v>
      </c>
      <c r="AD13" s="369">
        <v>4.5</v>
      </c>
      <c r="AE13" s="369">
        <v>4.4000000000000004</v>
      </c>
      <c r="AF13" s="369">
        <v>4.4000000000000004</v>
      </c>
      <c r="AG13" s="369">
        <v>4.4000000000000004</v>
      </c>
    </row>
    <row r="14" spans="1:38" s="345" customFormat="1" ht="12.9">
      <c r="B14" s="349"/>
      <c r="C14" s="347"/>
      <c r="D14" s="347"/>
      <c r="E14" s="347"/>
      <c r="F14" s="347"/>
      <c r="G14" s="347"/>
      <c r="H14" s="347"/>
      <c r="I14" s="347"/>
      <c r="J14" s="348"/>
      <c r="K14" s="348"/>
      <c r="L14" s="348"/>
      <c r="M14" s="348"/>
      <c r="N14" s="348"/>
      <c r="O14" s="348"/>
      <c r="P14" s="348"/>
      <c r="Q14" s="348"/>
      <c r="R14" s="348"/>
      <c r="S14" s="348"/>
      <c r="T14" s="348"/>
      <c r="U14" s="348"/>
      <c r="V14" s="348"/>
      <c r="W14" s="348"/>
      <c r="X14" s="348"/>
      <c r="Y14" s="348"/>
      <c r="Z14" s="348"/>
      <c r="AA14" s="348"/>
      <c r="AB14" s="348"/>
      <c r="AC14" s="348"/>
      <c r="AD14" s="348"/>
      <c r="AE14" s="348"/>
      <c r="AF14" s="348"/>
      <c r="AG14" s="348"/>
    </row>
    <row r="15" spans="1:38" ht="25.95" customHeight="1">
      <c r="B15" s="831" t="s">
        <v>328</v>
      </c>
      <c r="C15" s="831"/>
      <c r="D15" s="831"/>
      <c r="E15" s="831"/>
      <c r="F15" s="831"/>
      <c r="G15" s="831"/>
      <c r="H15" s="831"/>
      <c r="I15" s="831"/>
      <c r="J15" s="831"/>
      <c r="K15" s="831"/>
      <c r="L15" s="831"/>
      <c r="M15" s="831"/>
      <c r="N15" s="831"/>
    </row>
    <row r="16" spans="1:38" ht="14.4">
      <c r="B16" s="449"/>
      <c r="C16" s="449"/>
      <c r="D16" s="449"/>
      <c r="E16" s="449"/>
      <c r="F16" s="449"/>
      <c r="G16" s="449"/>
      <c r="H16" s="449"/>
      <c r="I16" s="449"/>
      <c r="J16" s="449"/>
      <c r="K16" s="449"/>
      <c r="L16" s="449"/>
      <c r="M16" s="449"/>
      <c r="N16" s="449"/>
    </row>
    <row r="17" spans="1:17" s="338" customFormat="1" ht="14.1">
      <c r="A17" s="350" t="s">
        <v>305</v>
      </c>
    </row>
    <row r="18" spans="1:17" s="423" customFormat="1" ht="14.4" thickBot="1">
      <c r="A18" s="422"/>
    </row>
    <row r="19" spans="1:17" ht="106.95" customHeight="1">
      <c r="B19" s="822" t="s">
        <v>375</v>
      </c>
      <c r="C19" s="823"/>
      <c r="G19" s="450"/>
      <c r="H19" s="451"/>
      <c r="I19" s="451" t="s">
        <v>330</v>
      </c>
      <c r="J19" s="452" t="s">
        <v>331</v>
      </c>
    </row>
    <row r="20" spans="1:17" ht="14.1" thickBot="1">
      <c r="B20" s="824">
        <v>0.89</v>
      </c>
      <c r="C20" s="825"/>
      <c r="G20" s="453"/>
      <c r="H20" s="375"/>
      <c r="I20" s="375"/>
      <c r="J20" s="454"/>
    </row>
    <row r="21" spans="1:17" ht="34.950000000000003" customHeight="1">
      <c r="B21" s="832" t="s">
        <v>329</v>
      </c>
      <c r="C21" s="832"/>
      <c r="G21" s="455" t="s">
        <v>332</v>
      </c>
      <c r="H21" s="375"/>
      <c r="I21" s="535">
        <v>71</v>
      </c>
      <c r="J21" s="456">
        <f>I21*((1+'Założenia 2 - Dane wejściowe'!$H$6/100)/2)</f>
        <v>72.349000000000004</v>
      </c>
      <c r="L21" s="373" t="s">
        <v>345</v>
      </c>
    </row>
    <row r="22" spans="1:17" ht="45" customHeight="1" thickBot="1">
      <c r="B22" s="832"/>
      <c r="C22" s="832"/>
      <c r="G22" s="455" t="s">
        <v>333</v>
      </c>
      <c r="H22" s="375"/>
      <c r="I22" s="535">
        <v>12</v>
      </c>
      <c r="J22" s="456">
        <f>I22*((1+'Założenia 2 - Dane wejściowe'!$H$6/100)/2)</f>
        <v>12.228000000000002</v>
      </c>
      <c r="L22" s="790" t="s">
        <v>335</v>
      </c>
      <c r="M22" s="790"/>
      <c r="N22" s="790"/>
      <c r="O22" s="790"/>
      <c r="P22" s="790"/>
      <c r="Q22" s="790"/>
    </row>
    <row r="23" spans="1:17" ht="42" customHeight="1">
      <c r="B23" s="826" t="s">
        <v>337</v>
      </c>
      <c r="C23" s="827"/>
      <c r="G23" s="455" t="s">
        <v>334</v>
      </c>
      <c r="H23" s="375"/>
      <c r="I23" s="535">
        <v>0</v>
      </c>
      <c r="J23" s="456">
        <f>I23*((1+'Założenia 2 - Dane wejściowe'!$H$6/100)/2)</f>
        <v>0</v>
      </c>
    </row>
    <row r="24" spans="1:17" ht="41.4">
      <c r="B24" s="460" t="s">
        <v>316</v>
      </c>
      <c r="C24" s="544">
        <v>0</v>
      </c>
      <c r="G24" s="453" t="s">
        <v>153</v>
      </c>
      <c r="H24" s="375"/>
      <c r="I24" s="494">
        <f>'Założenia 1 - Wyniki ankiet'!C2040</f>
        <v>21335</v>
      </c>
      <c r="J24" s="456">
        <f>I24*97%</f>
        <v>20694.95</v>
      </c>
    </row>
    <row r="25" spans="1:17" ht="58.2" customHeight="1">
      <c r="B25" s="460" t="s">
        <v>317</v>
      </c>
      <c r="C25" s="544">
        <v>3000</v>
      </c>
      <c r="G25" s="455" t="s">
        <v>19</v>
      </c>
      <c r="H25" s="376"/>
      <c r="I25" s="495">
        <f>'Założenia 1 - Wyniki ankiet'!C2041</f>
        <v>4332.96</v>
      </c>
      <c r="J25" s="456">
        <f>I25*97%</f>
        <v>4202.9712</v>
      </c>
    </row>
    <row r="26" spans="1:17" ht="51.6" customHeight="1" thickBot="1">
      <c r="B26" s="460" t="s">
        <v>318</v>
      </c>
      <c r="C26" s="544">
        <v>2000</v>
      </c>
      <c r="G26" s="457" t="s">
        <v>276</v>
      </c>
      <c r="H26" s="458"/>
      <c r="I26" s="496">
        <f>'Założenia 1 - Wyniki ankiet'!C2042</f>
        <v>2448</v>
      </c>
      <c r="J26" s="459">
        <f>I26*97%</f>
        <v>2374.56</v>
      </c>
    </row>
    <row r="27" spans="1:17" ht="21">
      <c r="B27" s="460" t="s">
        <v>320</v>
      </c>
      <c r="C27" s="544">
        <v>4.7</v>
      </c>
    </row>
    <row r="28" spans="1:17" ht="41.7" thickBot="1">
      <c r="B28" s="461" t="s">
        <v>319</v>
      </c>
      <c r="C28" s="545">
        <v>0</v>
      </c>
      <c r="E28" s="373" t="s">
        <v>336</v>
      </c>
    </row>
    <row r="31" spans="1:17" s="338" customFormat="1" ht="14.1">
      <c r="A31" s="350" t="s">
        <v>315</v>
      </c>
    </row>
    <row r="34" spans="1:15" ht="49.2" customHeight="1">
      <c r="B34" s="812" t="s">
        <v>338</v>
      </c>
      <c r="C34" s="812"/>
      <c r="E34" s="379"/>
      <c r="F34" s="378" t="s">
        <v>339</v>
      </c>
      <c r="G34" s="378" t="s">
        <v>340</v>
      </c>
      <c r="H34" s="378" t="s">
        <v>341</v>
      </c>
      <c r="I34" s="378" t="s">
        <v>437</v>
      </c>
      <c r="J34" s="378" t="s">
        <v>342</v>
      </c>
      <c r="K34" s="378" t="s">
        <v>343</v>
      </c>
      <c r="L34" s="378" t="s">
        <v>344</v>
      </c>
      <c r="N34" s="812" t="s">
        <v>395</v>
      </c>
      <c r="O34" s="812"/>
    </row>
    <row r="35" spans="1:15">
      <c r="B35" s="813">
        <v>5.5E-2</v>
      </c>
      <c r="C35" s="813"/>
      <c r="E35" s="374" t="s">
        <v>323</v>
      </c>
      <c r="F35" s="401" t="s">
        <v>324</v>
      </c>
      <c r="G35" s="401" t="s">
        <v>325</v>
      </c>
      <c r="H35" s="401" t="s">
        <v>325</v>
      </c>
      <c r="I35" s="511" t="s">
        <v>326</v>
      </c>
      <c r="J35" s="401" t="s">
        <v>326</v>
      </c>
      <c r="K35" s="401" t="s">
        <v>178</v>
      </c>
      <c r="L35" s="401" t="s">
        <v>325</v>
      </c>
      <c r="N35" s="814">
        <v>9.4E-2</v>
      </c>
      <c r="O35" s="814"/>
    </row>
    <row r="36" spans="1:15" ht="45" customHeight="1">
      <c r="E36" s="374" t="s">
        <v>322</v>
      </c>
      <c r="F36" s="401">
        <v>3.5499999999999997E-2</v>
      </c>
      <c r="G36" s="401">
        <v>24</v>
      </c>
      <c r="H36" s="401">
        <v>26</v>
      </c>
      <c r="I36" s="511">
        <v>2.3E-2</v>
      </c>
      <c r="J36" s="401">
        <v>3.6400000000000002E-2</v>
      </c>
      <c r="K36" s="401">
        <v>3.6</v>
      </c>
      <c r="L36" s="401">
        <v>12</v>
      </c>
      <c r="N36" s="812" t="s">
        <v>396</v>
      </c>
      <c r="O36" s="812"/>
    </row>
    <row r="37" spans="1:15">
      <c r="E37" s="374"/>
      <c r="F37" s="401"/>
      <c r="G37" s="401"/>
      <c r="H37" s="401"/>
      <c r="I37" s="511"/>
      <c r="J37" s="401"/>
      <c r="K37" s="401"/>
      <c r="L37" s="401"/>
      <c r="N37" s="814">
        <v>9.8000000000000004E-2</v>
      </c>
      <c r="O37" s="814"/>
    </row>
    <row r="38" spans="1:15" ht="45" customHeight="1">
      <c r="N38" s="812" t="s">
        <v>397</v>
      </c>
      <c r="O38" s="812"/>
    </row>
    <row r="39" spans="1:15" ht="25.2" customHeight="1">
      <c r="B39" s="790" t="s">
        <v>362</v>
      </c>
      <c r="C39" s="790"/>
      <c r="D39" s="790"/>
      <c r="E39" s="790"/>
      <c r="F39" s="790"/>
      <c r="G39" s="790"/>
      <c r="H39" s="790"/>
      <c r="I39" s="790"/>
      <c r="J39" s="790"/>
      <c r="K39" s="790"/>
      <c r="L39" s="510"/>
      <c r="N39" s="814">
        <v>7.5999999999999998E-2</v>
      </c>
      <c r="O39" s="814"/>
    </row>
    <row r="40" spans="1:15" ht="36" customHeight="1">
      <c r="N40" s="812" t="s">
        <v>403</v>
      </c>
      <c r="O40" s="812"/>
    </row>
    <row r="41" spans="1:15">
      <c r="B41" s="378"/>
      <c r="C41" s="379"/>
      <c r="D41" s="379" t="s">
        <v>330</v>
      </c>
      <c r="E41" s="379" t="s">
        <v>331</v>
      </c>
      <c r="N41" s="834">
        <v>0</v>
      </c>
      <c r="O41" s="834"/>
    </row>
    <row r="42" spans="1:15" ht="21">
      <c r="B42" s="377" t="s">
        <v>154</v>
      </c>
      <c r="C42" s="375"/>
      <c r="D42" s="497">
        <v>156.69999999999999</v>
      </c>
      <c r="E42" s="492">
        <f>D42*((1+'Założenia 2 - Dane wejściowe'!$H$6/100)/2)</f>
        <v>159.6773</v>
      </c>
    </row>
    <row r="43" spans="1:15" ht="33.6" customHeight="1">
      <c r="B43" s="377" t="s">
        <v>155</v>
      </c>
      <c r="C43" s="376"/>
      <c r="D43" s="536">
        <v>1450</v>
      </c>
      <c r="E43" s="402">
        <f>D43*((1+'Założenia 2 - Dane wejściowe'!$H$6/100)/2)</f>
        <v>1477.5500000000002</v>
      </c>
      <c r="G43" s="790" t="s">
        <v>346</v>
      </c>
      <c r="H43" s="790"/>
      <c r="I43" s="790"/>
      <c r="J43" s="790"/>
      <c r="K43" s="790"/>
      <c r="L43" s="790"/>
      <c r="M43" s="790"/>
    </row>
    <row r="44" spans="1:15" ht="42" customHeight="1">
      <c r="B44" s="377" t="s">
        <v>321</v>
      </c>
      <c r="C44" s="400"/>
      <c r="D44" s="498">
        <v>0.59</v>
      </c>
      <c r="E44" s="403">
        <f>D44</f>
        <v>0.59</v>
      </c>
      <c r="G44" s="790" t="s">
        <v>335</v>
      </c>
      <c r="H44" s="790"/>
      <c r="I44" s="790"/>
      <c r="J44" s="790"/>
      <c r="K44" s="790"/>
      <c r="L44" s="790"/>
      <c r="M44" s="790"/>
    </row>
    <row r="47" spans="1:15" s="338" customFormat="1" ht="14.1">
      <c r="A47" s="350" t="s">
        <v>73</v>
      </c>
    </row>
    <row r="49" spans="2:27" ht="14.1" thickBot="1"/>
    <row r="50" spans="2:27">
      <c r="B50" s="90" t="s">
        <v>347</v>
      </c>
      <c r="C50" s="91">
        <v>2016</v>
      </c>
      <c r="D50" s="91">
        <v>2017</v>
      </c>
      <c r="E50" s="91">
        <v>2018</v>
      </c>
      <c r="F50" s="91">
        <v>2019</v>
      </c>
      <c r="G50" s="91">
        <v>2020</v>
      </c>
      <c r="H50" s="91">
        <v>2021</v>
      </c>
      <c r="I50" s="91">
        <v>2022</v>
      </c>
      <c r="J50" s="91">
        <v>2023</v>
      </c>
      <c r="K50" s="91">
        <v>2024</v>
      </c>
      <c r="L50" s="91">
        <v>2025</v>
      </c>
      <c r="M50" s="91">
        <v>2026</v>
      </c>
      <c r="N50" s="91">
        <v>2027</v>
      </c>
      <c r="O50" s="91">
        <v>2028</v>
      </c>
      <c r="P50" s="91">
        <v>2029</v>
      </c>
      <c r="Q50" s="91">
        <v>2030</v>
      </c>
      <c r="R50" s="91">
        <v>2031</v>
      </c>
      <c r="S50" s="91">
        <v>2032</v>
      </c>
      <c r="T50" s="91">
        <v>2033</v>
      </c>
      <c r="U50" s="91">
        <v>2034</v>
      </c>
      <c r="V50" s="91">
        <v>2035</v>
      </c>
      <c r="W50" s="91">
        <v>2036</v>
      </c>
      <c r="X50" s="91">
        <v>2037</v>
      </c>
      <c r="Y50" s="91">
        <v>2038</v>
      </c>
      <c r="Z50" s="91">
        <v>2039</v>
      </c>
      <c r="AA50" s="92">
        <v>2040</v>
      </c>
    </row>
    <row r="51" spans="2:27">
      <c r="B51" s="93" t="s">
        <v>140</v>
      </c>
      <c r="C51" s="94">
        <v>1.0828836044800001</v>
      </c>
      <c r="D51" s="94">
        <v>1.109739117871104</v>
      </c>
      <c r="E51" s="94">
        <v>1.1363728567000106</v>
      </c>
      <c r="F51" s="94">
        <v>1.1618276086900909</v>
      </c>
      <c r="G51" s="94">
        <v>1.186923085037797</v>
      </c>
      <c r="H51" s="94">
        <v>1.2135101621426436</v>
      </c>
      <c r="I51" s="94">
        <v>1.2397219816449248</v>
      </c>
      <c r="J51" s="94">
        <v>1.2655081988631391</v>
      </c>
      <c r="K51" s="94">
        <v>1.290818362840402</v>
      </c>
      <c r="L51" s="94">
        <v>1.3156020754069377</v>
      </c>
      <c r="M51" s="94">
        <v>1.3408616352547511</v>
      </c>
      <c r="N51" s="94">
        <v>1.3666061786516426</v>
      </c>
      <c r="O51" s="94">
        <v>1.3917517323388329</v>
      </c>
      <c r="P51" s="94">
        <v>1.4173599642138675</v>
      </c>
      <c r="Q51" s="94">
        <v>1.4434393875554026</v>
      </c>
      <c r="R51" s="94">
        <v>1.4688439207763777</v>
      </c>
      <c r="S51" s="94">
        <v>1.494695573782042</v>
      </c>
      <c r="T51" s="94">
        <v>1.521002215880606</v>
      </c>
      <c r="U51" s="94">
        <v>1.5465550531074002</v>
      </c>
      <c r="V51" s="94">
        <v>1.5725371779996045</v>
      </c>
      <c r="W51" s="94">
        <v>1.5976977728475981</v>
      </c>
      <c r="X51" s="94">
        <v>1.6232609372131597</v>
      </c>
      <c r="Y51" s="94">
        <v>1.6479345034587998</v>
      </c>
      <c r="Z51" s="94">
        <v>1.6729831079113737</v>
      </c>
      <c r="AA51" s="95">
        <v>1.6970740646652975</v>
      </c>
    </row>
    <row r="52" spans="2:27">
      <c r="B52" s="93" t="s">
        <v>141</v>
      </c>
      <c r="C52" s="94">
        <v>1.0310049192851198</v>
      </c>
      <c r="D52" s="94">
        <v>1.0415520996094065</v>
      </c>
      <c r="E52" s="94">
        <v>1.0518634653955397</v>
      </c>
      <c r="F52" s="94">
        <v>1.0615826838157945</v>
      </c>
      <c r="G52" s="94">
        <v>1.0710413855285932</v>
      </c>
      <c r="H52" s="94">
        <v>1.0809378079308773</v>
      </c>
      <c r="I52" s="94">
        <v>1.0905689637995415</v>
      </c>
      <c r="J52" s="94">
        <v>1.0999260455089417</v>
      </c>
      <c r="K52" s="94">
        <v>1.1090004353843905</v>
      </c>
      <c r="L52" s="94">
        <v>1.1177837188326347</v>
      </c>
      <c r="M52" s="94">
        <v>1.1266365658857891</v>
      </c>
      <c r="N52" s="94">
        <v>1.1355595274876045</v>
      </c>
      <c r="O52" s="94">
        <v>1.1441784243012354</v>
      </c>
      <c r="P52" s="94">
        <v>1.1528627385416819</v>
      </c>
      <c r="Q52" s="94">
        <v>1.1616129667272133</v>
      </c>
      <c r="R52" s="94">
        <v>1.1700462768656528</v>
      </c>
      <c r="S52" s="94">
        <v>1.1785408128356976</v>
      </c>
      <c r="T52" s="94">
        <v>1.1870970191368848</v>
      </c>
      <c r="U52" s="94">
        <v>1.1953236014795035</v>
      </c>
      <c r="V52" s="94">
        <v>1.2036071940377566</v>
      </c>
      <c r="W52" s="94">
        <v>1.2115510015184057</v>
      </c>
      <c r="X52" s="94">
        <v>1.2195472381284271</v>
      </c>
      <c r="Y52" s="94">
        <v>1.2271937993114923</v>
      </c>
      <c r="Z52" s="94">
        <v>1.2348883044331753</v>
      </c>
      <c r="AA52" s="95">
        <v>1.2422235409615086</v>
      </c>
    </row>
    <row r="53" spans="2:27">
      <c r="B53" s="93" t="s">
        <v>142</v>
      </c>
      <c r="C53" s="94">
        <v>1.03290432096</v>
      </c>
      <c r="D53" s="94">
        <v>1.0441113328424161</v>
      </c>
      <c r="E53" s="94">
        <v>1.0550745018372614</v>
      </c>
      <c r="F53" s="94">
        <v>1.0654142319552666</v>
      </c>
      <c r="G53" s="94">
        <v>1.0754823964472437</v>
      </c>
      <c r="H53" s="94">
        <v>1.0860221239324268</v>
      </c>
      <c r="I53" s="94">
        <v>1.0962850330035883</v>
      </c>
      <c r="J53" s="94">
        <v>1.1062612268039211</v>
      </c>
      <c r="K53" s="94">
        <v>1.1159410125384555</v>
      </c>
      <c r="L53" s="94">
        <v>1.1253149170437784</v>
      </c>
      <c r="M53" s="94">
        <v>1.1347675623469462</v>
      </c>
      <c r="N53" s="94">
        <v>1.1442996098706606</v>
      </c>
      <c r="O53" s="94">
        <v>1.1535112217301193</v>
      </c>
      <c r="P53" s="94">
        <v>1.1627969870650467</v>
      </c>
      <c r="Q53" s="94">
        <v>1.1721575028109203</v>
      </c>
      <c r="R53" s="94">
        <v>1.1811831155825645</v>
      </c>
      <c r="S53" s="94">
        <v>1.1902782255725504</v>
      </c>
      <c r="T53" s="94">
        <v>1.1994433679094592</v>
      </c>
      <c r="U53" s="94">
        <v>1.2082592766635936</v>
      </c>
      <c r="V53" s="94">
        <v>1.217139982347071</v>
      </c>
      <c r="W53" s="94">
        <v>1.2256599622235003</v>
      </c>
      <c r="X53" s="94">
        <v>1.2342395819590646</v>
      </c>
      <c r="Y53" s="94">
        <v>1.2424472751790925</v>
      </c>
      <c r="Z53" s="94">
        <v>1.2507095495590335</v>
      </c>
      <c r="AA53" s="95">
        <v>1.2585890197212553</v>
      </c>
    </row>
    <row r="54" spans="2:27">
      <c r="B54" s="93" t="s">
        <v>143</v>
      </c>
      <c r="C54" s="94">
        <v>1.1006021130239998</v>
      </c>
      <c r="D54" s="94">
        <v>1.1347207785277438</v>
      </c>
      <c r="E54" s="94">
        <v>1.1687624018835761</v>
      </c>
      <c r="F54" s="94">
        <v>1.2014877491363163</v>
      </c>
      <c r="G54" s="94">
        <v>1.2339279183629968</v>
      </c>
      <c r="H54" s="94">
        <v>1.2684779000771607</v>
      </c>
      <c r="I54" s="94">
        <v>1.3027268033792438</v>
      </c>
      <c r="J54" s="94">
        <v>1.3365977002671041</v>
      </c>
      <c r="K54" s="94">
        <v>1.3700126427737815</v>
      </c>
      <c r="L54" s="94">
        <v>1.4028929462003523</v>
      </c>
      <c r="M54" s="94">
        <v>1.4365623769091609</v>
      </c>
      <c r="N54" s="94">
        <v>1.4710398739549808</v>
      </c>
      <c r="O54" s="94">
        <v>1.5048737910559453</v>
      </c>
      <c r="P54" s="94">
        <v>1.539485888250232</v>
      </c>
      <c r="Q54" s="94">
        <v>1.5748940636799873</v>
      </c>
      <c r="R54" s="94">
        <v>1.6095417330809469</v>
      </c>
      <c r="S54" s="94">
        <v>1.6449516512087279</v>
      </c>
      <c r="T54" s="94">
        <v>1.68114058753532</v>
      </c>
      <c r="U54" s="94">
        <v>1.7164445398735615</v>
      </c>
      <c r="V54" s="94">
        <v>1.7524898752109062</v>
      </c>
      <c r="W54" s="94">
        <v>1.7875396727151243</v>
      </c>
      <c r="X54" s="94">
        <v>1.8232904661694267</v>
      </c>
      <c r="Y54" s="94">
        <v>1.8579329850266457</v>
      </c>
      <c r="Z54" s="94">
        <v>1.8932337117421518</v>
      </c>
      <c r="AA54" s="95">
        <v>1.9273119185535106</v>
      </c>
    </row>
    <row r="55" spans="2:27" ht="14.1" thickBot="1">
      <c r="B55" s="96" t="s">
        <v>4</v>
      </c>
      <c r="C55" s="97">
        <v>1</v>
      </c>
      <c r="D55" s="97">
        <v>1</v>
      </c>
      <c r="E55" s="97">
        <v>1</v>
      </c>
      <c r="F55" s="97">
        <v>1</v>
      </c>
      <c r="G55" s="97">
        <v>1</v>
      </c>
      <c r="H55" s="97">
        <v>1</v>
      </c>
      <c r="I55" s="97">
        <v>1</v>
      </c>
      <c r="J55" s="97">
        <v>1</v>
      </c>
      <c r="K55" s="97">
        <v>1</v>
      </c>
      <c r="L55" s="97">
        <v>1</v>
      </c>
      <c r="M55" s="97">
        <v>1</v>
      </c>
      <c r="N55" s="97">
        <v>1</v>
      </c>
      <c r="O55" s="97">
        <v>1</v>
      </c>
      <c r="P55" s="97">
        <v>1</v>
      </c>
      <c r="Q55" s="97">
        <v>1</v>
      </c>
      <c r="R55" s="97">
        <v>1</v>
      </c>
      <c r="S55" s="97">
        <v>1</v>
      </c>
      <c r="T55" s="97">
        <v>1</v>
      </c>
      <c r="U55" s="97">
        <v>1</v>
      </c>
      <c r="V55" s="97">
        <v>1</v>
      </c>
      <c r="W55" s="97">
        <v>1</v>
      </c>
      <c r="X55" s="97">
        <v>1</v>
      </c>
      <c r="Y55" s="97">
        <v>1</v>
      </c>
      <c r="Z55" s="97">
        <v>1</v>
      </c>
      <c r="AA55" s="98">
        <v>1</v>
      </c>
    </row>
    <row r="57" spans="2:27" ht="27" customHeight="1">
      <c r="B57" s="841" t="s">
        <v>348</v>
      </c>
      <c r="C57" s="841"/>
      <c r="D57" s="841"/>
      <c r="E57" s="841"/>
      <c r="F57" s="841"/>
      <c r="G57" s="841"/>
      <c r="H57" s="841"/>
      <c r="I57" s="841"/>
      <c r="J57" s="841"/>
      <c r="K57" s="841"/>
    </row>
    <row r="59" spans="2:27" ht="14.1" thickBot="1"/>
    <row r="60" spans="2:27">
      <c r="B60" s="819"/>
      <c r="C60" s="820"/>
      <c r="D60" s="419" t="s">
        <v>349</v>
      </c>
      <c r="F60" s="819"/>
      <c r="G60" s="820"/>
      <c r="H60" s="419" t="s">
        <v>545</v>
      </c>
      <c r="I60" s="419" t="s">
        <v>546</v>
      </c>
      <c r="J60" s="419"/>
    </row>
    <row r="61" spans="2:27">
      <c r="B61" s="815" t="s">
        <v>58</v>
      </c>
      <c r="C61" s="816"/>
      <c r="D61" s="420">
        <v>155</v>
      </c>
      <c r="F61" s="815" t="s">
        <v>58</v>
      </c>
      <c r="G61" s="816"/>
      <c r="H61" s="601">
        <v>4906</v>
      </c>
      <c r="I61" s="601">
        <v>3383</v>
      </c>
      <c r="J61" s="499"/>
    </row>
    <row r="62" spans="2:27">
      <c r="B62" s="815" t="s">
        <v>57</v>
      </c>
      <c r="C62" s="816"/>
      <c r="D62" s="420">
        <v>155</v>
      </c>
      <c r="F62" s="815" t="s">
        <v>57</v>
      </c>
      <c r="G62" s="816"/>
      <c r="H62" s="601">
        <v>55</v>
      </c>
      <c r="I62" s="601">
        <v>42</v>
      </c>
      <c r="J62" s="499"/>
    </row>
    <row r="63" spans="2:27" ht="21" customHeight="1">
      <c r="B63" s="817" t="s">
        <v>76</v>
      </c>
      <c r="C63" s="818"/>
      <c r="D63" s="420">
        <v>200</v>
      </c>
      <c r="F63" s="817" t="s">
        <v>76</v>
      </c>
      <c r="G63" s="818"/>
      <c r="H63" s="601">
        <v>756</v>
      </c>
      <c r="I63" s="601">
        <v>302</v>
      </c>
      <c r="J63" s="499"/>
    </row>
    <row r="64" spans="2:27">
      <c r="B64" s="817" t="s">
        <v>72</v>
      </c>
      <c r="C64" s="818"/>
      <c r="D64" s="420">
        <v>600</v>
      </c>
      <c r="F64" s="817" t="s">
        <v>72</v>
      </c>
      <c r="G64" s="818"/>
      <c r="H64" s="601">
        <f>229+1036</f>
        <v>1265</v>
      </c>
      <c r="I64" s="601">
        <f>68+421</f>
        <v>489</v>
      </c>
      <c r="J64" s="499"/>
    </row>
    <row r="65" spans="1:18">
      <c r="B65" s="815" t="s">
        <v>60</v>
      </c>
      <c r="C65" s="816"/>
      <c r="D65" s="420">
        <v>450</v>
      </c>
      <c r="F65" s="815" t="s">
        <v>60</v>
      </c>
      <c r="G65" s="816"/>
      <c r="H65" s="601">
        <v>47</v>
      </c>
      <c r="I65" s="601">
        <v>30</v>
      </c>
      <c r="J65" s="499"/>
    </row>
    <row r="66" spans="1:18" ht="14.1" thickBot="1">
      <c r="B66" s="844" t="s">
        <v>62</v>
      </c>
      <c r="C66" s="845"/>
      <c r="D66" s="421">
        <v>450</v>
      </c>
      <c r="F66" s="844" t="s">
        <v>62</v>
      </c>
      <c r="G66" s="845"/>
      <c r="H66" s="602">
        <v>18</v>
      </c>
      <c r="I66" s="602">
        <v>4</v>
      </c>
      <c r="J66" s="500"/>
    </row>
    <row r="67" spans="1:18">
      <c r="B67" s="462"/>
      <c r="C67" s="462"/>
      <c r="D67" s="463"/>
      <c r="F67" s="462"/>
      <c r="G67" s="462"/>
      <c r="H67" s="463"/>
      <c r="I67" s="463"/>
      <c r="J67" s="463"/>
    </row>
    <row r="68" spans="1:18" ht="60.6" customHeight="1">
      <c r="B68" s="842" t="s">
        <v>350</v>
      </c>
      <c r="C68" s="842"/>
      <c r="D68" s="842"/>
      <c r="F68" s="843" t="s">
        <v>548</v>
      </c>
      <c r="G68" s="843"/>
      <c r="H68" s="843"/>
      <c r="I68" s="843"/>
      <c r="J68" s="843"/>
    </row>
    <row r="69" spans="1:18" ht="14.1" thickBot="1"/>
    <row r="70" spans="1:18">
      <c r="B70" s="417" t="s">
        <v>71</v>
      </c>
      <c r="C70" s="416" t="s">
        <v>351</v>
      </c>
    </row>
    <row r="71" spans="1:18">
      <c r="B71" s="414" t="s">
        <v>543</v>
      </c>
      <c r="C71" s="501">
        <v>23.55</v>
      </c>
    </row>
    <row r="72" spans="1:18">
      <c r="B72" s="414" t="s">
        <v>544</v>
      </c>
      <c r="C72" s="501">
        <v>22</v>
      </c>
    </row>
    <row r="73" spans="1:18" ht="14.1" thickBot="1">
      <c r="B73" s="415"/>
      <c r="C73" s="502"/>
      <c r="E73" s="790" t="s">
        <v>352</v>
      </c>
      <c r="F73" s="790"/>
      <c r="G73" s="790"/>
      <c r="H73" s="790"/>
      <c r="I73" s="790"/>
    </row>
    <row r="75" spans="1:18" s="350" customFormat="1" ht="14.1">
      <c r="A75" s="350" t="s">
        <v>74</v>
      </c>
    </row>
    <row r="77" spans="1:18" ht="14.1" thickBot="1"/>
    <row r="78" spans="1:18" ht="32.4" thickBot="1">
      <c r="B78" s="424"/>
      <c r="C78" s="425" t="s">
        <v>49</v>
      </c>
      <c r="D78" s="425" t="s">
        <v>354</v>
      </c>
      <c r="E78" s="425" t="s">
        <v>356</v>
      </c>
      <c r="F78" s="425" t="s">
        <v>259</v>
      </c>
      <c r="G78" s="425" t="s">
        <v>359</v>
      </c>
      <c r="H78" s="425" t="s">
        <v>360</v>
      </c>
      <c r="I78" s="425" t="s">
        <v>361</v>
      </c>
      <c r="L78" s="802" t="s">
        <v>330</v>
      </c>
      <c r="M78" s="803"/>
      <c r="N78" s="448" t="s">
        <v>49</v>
      </c>
      <c r="P78" s="798" t="s">
        <v>353</v>
      </c>
      <c r="Q78" s="798"/>
      <c r="R78" s="798"/>
    </row>
    <row r="79" spans="1:18">
      <c r="B79" s="797" t="s">
        <v>57</v>
      </c>
      <c r="C79" s="426" t="s">
        <v>54</v>
      </c>
      <c r="D79" s="431">
        <v>0.755</v>
      </c>
      <c r="E79" s="428">
        <v>7000</v>
      </c>
      <c r="F79" s="428">
        <v>0.9</v>
      </c>
      <c r="G79" s="429">
        <v>0.05</v>
      </c>
      <c r="H79" s="435">
        <v>4.48E-2</v>
      </c>
      <c r="I79" s="429">
        <v>68.61</v>
      </c>
      <c r="L79" s="804" t="s">
        <v>57</v>
      </c>
      <c r="M79" s="503">
        <f>861+954</f>
        <v>1815</v>
      </c>
      <c r="N79" s="444" t="s">
        <v>54</v>
      </c>
    </row>
    <row r="80" spans="1:18">
      <c r="B80" s="792"/>
      <c r="C80" s="427" t="s">
        <v>55</v>
      </c>
      <c r="D80" s="432">
        <v>0.84</v>
      </c>
      <c r="E80" s="372">
        <f>E79</f>
        <v>7000</v>
      </c>
      <c r="F80" s="428">
        <v>0.9</v>
      </c>
      <c r="G80" s="430">
        <f>G79</f>
        <v>0.05</v>
      </c>
      <c r="H80" s="436">
        <v>4.333E-2</v>
      </c>
      <c r="I80" s="430">
        <v>73.33</v>
      </c>
      <c r="L80" s="805"/>
      <c r="M80" s="504">
        <v>0</v>
      </c>
      <c r="N80" s="445" t="s">
        <v>55</v>
      </c>
    </row>
    <row r="81" spans="2:14">
      <c r="B81" s="793"/>
      <c r="C81" s="427" t="s">
        <v>56</v>
      </c>
      <c r="D81" s="432">
        <v>0.5</v>
      </c>
      <c r="E81" s="433">
        <f>E80</f>
        <v>7000</v>
      </c>
      <c r="F81" s="428">
        <v>0.9</v>
      </c>
      <c r="G81" s="434">
        <v>0.1</v>
      </c>
      <c r="H81" s="436">
        <v>4.7309999999999998E-2</v>
      </c>
      <c r="I81" s="430">
        <v>62.44</v>
      </c>
      <c r="L81" s="806"/>
      <c r="M81" s="504">
        <v>0</v>
      </c>
      <c r="N81" s="445" t="s">
        <v>56</v>
      </c>
    </row>
    <row r="82" spans="2:14">
      <c r="B82" s="791" t="s">
        <v>58</v>
      </c>
      <c r="C82" s="426" t="s">
        <v>54</v>
      </c>
      <c r="D82" s="431">
        <v>0.755</v>
      </c>
      <c r="E82" s="372">
        <v>5876</v>
      </c>
      <c r="F82" s="428">
        <v>0.9</v>
      </c>
      <c r="G82" s="430">
        <v>0.08</v>
      </c>
      <c r="H82" s="435">
        <v>4.48E-2</v>
      </c>
      <c r="I82" s="429">
        <v>68.61</v>
      </c>
      <c r="L82" s="807" t="s">
        <v>58</v>
      </c>
      <c r="M82" s="504">
        <v>9195</v>
      </c>
      <c r="N82" s="446" t="s">
        <v>54</v>
      </c>
    </row>
    <row r="83" spans="2:14">
      <c r="B83" s="792"/>
      <c r="C83" s="427" t="s">
        <v>55</v>
      </c>
      <c r="D83" s="432">
        <v>0.84</v>
      </c>
      <c r="E83" s="372">
        <v>12016</v>
      </c>
      <c r="F83" s="428">
        <v>0.9</v>
      </c>
      <c r="G83" s="430">
        <v>7.0000000000000007E-2</v>
      </c>
      <c r="H83" s="436">
        <v>4.333E-2</v>
      </c>
      <c r="I83" s="430">
        <v>73.33</v>
      </c>
      <c r="L83" s="805"/>
      <c r="M83" s="504">
        <v>3197</v>
      </c>
      <c r="N83" s="445" t="s">
        <v>55</v>
      </c>
    </row>
    <row r="84" spans="2:14">
      <c r="B84" s="793"/>
      <c r="C84" s="427" t="s">
        <v>56</v>
      </c>
      <c r="D84" s="432">
        <v>0.5</v>
      </c>
      <c r="E84" s="372">
        <v>10093</v>
      </c>
      <c r="F84" s="428">
        <v>0.9</v>
      </c>
      <c r="G84" s="430">
        <v>0.1</v>
      </c>
      <c r="H84" s="436">
        <v>4.7309999999999998E-2</v>
      </c>
      <c r="I84" s="430">
        <v>62.44</v>
      </c>
      <c r="L84" s="806"/>
      <c r="M84" s="504">
        <v>1935</v>
      </c>
      <c r="N84" s="445" t="s">
        <v>56</v>
      </c>
    </row>
    <row r="85" spans="2:14">
      <c r="B85" s="791" t="s">
        <v>59</v>
      </c>
      <c r="C85" s="426" t="s">
        <v>54</v>
      </c>
      <c r="D85" s="431">
        <v>0.755</v>
      </c>
      <c r="E85" s="372">
        <v>18776</v>
      </c>
      <c r="F85" s="372">
        <v>0.25</v>
      </c>
      <c r="G85" s="430">
        <v>0.32</v>
      </c>
      <c r="H85" s="435">
        <v>4.48E-2</v>
      </c>
      <c r="I85" s="429">
        <v>68.61</v>
      </c>
      <c r="L85" s="807" t="s">
        <v>59</v>
      </c>
      <c r="M85" s="504">
        <v>479</v>
      </c>
      <c r="N85" s="446" t="s">
        <v>54</v>
      </c>
    </row>
    <row r="86" spans="2:14">
      <c r="B86" s="792"/>
      <c r="C86" s="427" t="s">
        <v>55</v>
      </c>
      <c r="D86" s="432">
        <v>0.84</v>
      </c>
      <c r="E86" s="372">
        <v>26142</v>
      </c>
      <c r="F86" s="372">
        <v>0.25</v>
      </c>
      <c r="G86" s="430">
        <v>0.25</v>
      </c>
      <c r="H86" s="436">
        <v>4.333E-2</v>
      </c>
      <c r="I86" s="430">
        <v>73.33</v>
      </c>
      <c r="L86" s="805"/>
      <c r="M86" s="504">
        <v>1213</v>
      </c>
      <c r="N86" s="445" t="s">
        <v>55</v>
      </c>
    </row>
    <row r="87" spans="2:14">
      <c r="B87" s="793"/>
      <c r="C87" s="427" t="s">
        <v>56</v>
      </c>
      <c r="D87" s="432">
        <v>0.5</v>
      </c>
      <c r="E87" s="372">
        <v>22763</v>
      </c>
      <c r="F87" s="372">
        <v>0.25</v>
      </c>
      <c r="G87" s="430">
        <v>0.25</v>
      </c>
      <c r="H87" s="436">
        <v>4.7309999999999998E-2</v>
      </c>
      <c r="I87" s="430">
        <v>62.44</v>
      </c>
      <c r="L87" s="806"/>
      <c r="M87" s="504">
        <v>67</v>
      </c>
      <c r="N87" s="445" t="s">
        <v>56</v>
      </c>
    </row>
    <row r="88" spans="2:14">
      <c r="B88" s="794" t="s">
        <v>60</v>
      </c>
      <c r="C88" s="426" t="s">
        <v>54</v>
      </c>
      <c r="D88" s="431">
        <v>0.755</v>
      </c>
      <c r="E88" s="372">
        <v>21982</v>
      </c>
      <c r="F88" s="372">
        <v>0.25</v>
      </c>
      <c r="G88" s="430">
        <v>0.28000000000000003</v>
      </c>
      <c r="H88" s="435">
        <v>4.48E-2</v>
      </c>
      <c r="I88" s="429">
        <v>68.61</v>
      </c>
      <c r="L88" s="808" t="s">
        <v>60</v>
      </c>
      <c r="M88" s="504">
        <v>3</v>
      </c>
      <c r="N88" s="446" t="s">
        <v>54</v>
      </c>
    </row>
    <row r="89" spans="2:14">
      <c r="B89" s="795"/>
      <c r="C89" s="427" t="s">
        <v>55</v>
      </c>
      <c r="D89" s="432">
        <v>0.84</v>
      </c>
      <c r="E89" s="372">
        <v>26148</v>
      </c>
      <c r="F89" s="372">
        <v>0.25</v>
      </c>
      <c r="G89" s="430">
        <v>0.28000000000000003</v>
      </c>
      <c r="H89" s="436">
        <v>4.333E-2</v>
      </c>
      <c r="I89" s="430">
        <v>73.33</v>
      </c>
      <c r="L89" s="809"/>
      <c r="M89" s="504">
        <v>51</v>
      </c>
      <c r="N89" s="445" t="s">
        <v>55</v>
      </c>
    </row>
    <row r="90" spans="2:14">
      <c r="B90" s="796"/>
      <c r="C90" s="427" t="s">
        <v>56</v>
      </c>
      <c r="D90" s="432">
        <v>0.5</v>
      </c>
      <c r="E90" s="433">
        <v>23625</v>
      </c>
      <c r="F90" s="372">
        <v>0.25</v>
      </c>
      <c r="G90" s="434">
        <v>0.35</v>
      </c>
      <c r="H90" s="436">
        <v>4.7309999999999998E-2</v>
      </c>
      <c r="I90" s="430">
        <v>62.44</v>
      </c>
      <c r="L90" s="810"/>
      <c r="M90" s="504">
        <v>0</v>
      </c>
      <c r="N90" s="445" t="s">
        <v>56</v>
      </c>
    </row>
    <row r="91" spans="2:14">
      <c r="B91" s="791" t="s">
        <v>61</v>
      </c>
      <c r="C91" s="426" t="s">
        <v>54</v>
      </c>
      <c r="D91" s="431">
        <v>0.755</v>
      </c>
      <c r="E91" s="372">
        <v>7417</v>
      </c>
      <c r="F91" s="372">
        <v>0.95</v>
      </c>
      <c r="G91" s="430">
        <v>0.1</v>
      </c>
      <c r="H91" s="435">
        <v>4.48E-2</v>
      </c>
      <c r="I91" s="429">
        <v>68.61</v>
      </c>
      <c r="L91" s="807" t="s">
        <v>61</v>
      </c>
      <c r="M91" s="504">
        <v>40</v>
      </c>
      <c r="N91" s="446" t="s">
        <v>54</v>
      </c>
    </row>
    <row r="92" spans="2:14">
      <c r="B92" s="792"/>
      <c r="C92" s="427" t="s">
        <v>55</v>
      </c>
      <c r="D92" s="432">
        <v>0.84</v>
      </c>
      <c r="E92" s="372">
        <v>14134</v>
      </c>
      <c r="F92" s="372">
        <v>0.95</v>
      </c>
      <c r="G92" s="430">
        <v>0.11</v>
      </c>
      <c r="H92" s="436">
        <v>4.333E-2</v>
      </c>
      <c r="I92" s="430">
        <v>73.33</v>
      </c>
      <c r="L92" s="805"/>
      <c r="M92" s="504">
        <v>73</v>
      </c>
      <c r="N92" s="445" t="s">
        <v>55</v>
      </c>
    </row>
    <row r="93" spans="2:14">
      <c r="B93" s="793"/>
      <c r="C93" s="427" t="s">
        <v>56</v>
      </c>
      <c r="D93" s="432">
        <v>0.5</v>
      </c>
      <c r="E93" s="372">
        <v>20092</v>
      </c>
      <c r="F93" s="372">
        <v>0.95</v>
      </c>
      <c r="G93" s="430">
        <v>0.13</v>
      </c>
      <c r="H93" s="436">
        <v>4.7309999999999998E-2</v>
      </c>
      <c r="I93" s="430">
        <v>62.44</v>
      </c>
      <c r="L93" s="806"/>
      <c r="M93" s="504">
        <v>0</v>
      </c>
      <c r="N93" s="445" t="s">
        <v>56</v>
      </c>
    </row>
    <row r="94" spans="2:14">
      <c r="B94" s="791" t="s">
        <v>62</v>
      </c>
      <c r="C94" s="426" t="s">
        <v>54</v>
      </c>
      <c r="D94" s="431">
        <v>0.755</v>
      </c>
      <c r="E94" s="433">
        <v>6728</v>
      </c>
      <c r="F94" s="433">
        <v>1</v>
      </c>
      <c r="G94" s="434">
        <v>0.32</v>
      </c>
      <c r="H94" s="435">
        <v>4.48E-2</v>
      </c>
      <c r="I94" s="429">
        <v>68.61</v>
      </c>
      <c r="L94" s="807" t="s">
        <v>62</v>
      </c>
      <c r="M94" s="504">
        <v>6</v>
      </c>
      <c r="N94" s="446" t="s">
        <v>54</v>
      </c>
    </row>
    <row r="95" spans="2:14">
      <c r="B95" s="792"/>
      <c r="C95" s="427" t="s">
        <v>55</v>
      </c>
      <c r="D95" s="432">
        <v>0.84</v>
      </c>
      <c r="E95" s="372">
        <v>13071</v>
      </c>
      <c r="F95" s="372">
        <v>1</v>
      </c>
      <c r="G95" s="430">
        <v>0.25</v>
      </c>
      <c r="H95" s="436">
        <v>4.333E-2</v>
      </c>
      <c r="I95" s="430">
        <v>73.33</v>
      </c>
      <c r="L95" s="805"/>
      <c r="M95" s="504">
        <v>866</v>
      </c>
      <c r="N95" s="445" t="s">
        <v>55</v>
      </c>
    </row>
    <row r="96" spans="2:14" ht="14.1" thickBot="1">
      <c r="B96" s="793"/>
      <c r="C96" s="427" t="s">
        <v>56</v>
      </c>
      <c r="D96" s="432">
        <v>0.5</v>
      </c>
      <c r="E96" s="433">
        <v>8772</v>
      </c>
      <c r="F96" s="433">
        <v>1</v>
      </c>
      <c r="G96" s="434">
        <v>0.18</v>
      </c>
      <c r="H96" s="436">
        <v>4.7309999999999998E-2</v>
      </c>
      <c r="I96" s="430">
        <v>62.44</v>
      </c>
      <c r="L96" s="811"/>
      <c r="M96" s="505">
        <v>0</v>
      </c>
      <c r="N96" s="447" t="s">
        <v>56</v>
      </c>
    </row>
    <row r="97" spans="1:13">
      <c r="L97" s="801"/>
      <c r="M97" s="443"/>
    </row>
    <row r="98" spans="1:13" ht="24.6" customHeight="1">
      <c r="B98" s="799" t="s">
        <v>355</v>
      </c>
      <c r="C98" s="799"/>
      <c r="D98" s="799"/>
      <c r="E98" s="799"/>
      <c r="F98" s="799"/>
      <c r="G98" s="799"/>
      <c r="H98" s="799"/>
      <c r="I98" s="799"/>
      <c r="J98" s="799"/>
      <c r="K98" s="799"/>
      <c r="L98" s="801"/>
      <c r="M98" s="443"/>
    </row>
    <row r="99" spans="1:13" ht="13.95" customHeight="1">
      <c r="B99" s="799" t="s">
        <v>357</v>
      </c>
      <c r="C99" s="799"/>
      <c r="D99" s="799"/>
      <c r="E99" s="799"/>
      <c r="F99" s="799"/>
      <c r="G99" s="799"/>
      <c r="H99" s="799"/>
      <c r="I99" s="799"/>
      <c r="J99" s="799"/>
      <c r="K99" s="799"/>
      <c r="L99" s="801"/>
      <c r="M99" s="443"/>
    </row>
    <row r="100" spans="1:13" ht="13.95" customHeight="1">
      <c r="B100" s="800" t="s">
        <v>358</v>
      </c>
      <c r="C100" s="800"/>
      <c r="D100" s="800"/>
      <c r="E100" s="800"/>
      <c r="F100" s="800"/>
      <c r="G100" s="800"/>
      <c r="H100" s="800"/>
      <c r="I100" s="800"/>
      <c r="J100" s="800"/>
      <c r="K100" s="800"/>
      <c r="L100" s="464"/>
      <c r="M100" s="443"/>
    </row>
    <row r="101" spans="1:13" ht="26.4" customHeight="1">
      <c r="B101" s="799" t="s">
        <v>364</v>
      </c>
      <c r="C101" s="799"/>
      <c r="D101" s="799"/>
      <c r="E101" s="799"/>
      <c r="F101" s="799"/>
      <c r="G101" s="799"/>
      <c r="H101" s="799"/>
      <c r="I101" s="799"/>
      <c r="J101" s="799"/>
      <c r="K101" s="799"/>
    </row>
    <row r="102" spans="1:13" ht="24.6" customHeight="1">
      <c r="B102" s="790" t="s">
        <v>363</v>
      </c>
      <c r="C102" s="790"/>
      <c r="D102" s="790"/>
      <c r="E102" s="790"/>
      <c r="F102" s="790"/>
      <c r="G102" s="790"/>
      <c r="H102" s="790"/>
      <c r="I102" s="790"/>
      <c r="J102" s="790"/>
      <c r="K102" s="790"/>
    </row>
    <row r="105" spans="1:13" s="350" customFormat="1" ht="14.1">
      <c r="A105" s="350" t="s">
        <v>377</v>
      </c>
    </row>
    <row r="107" spans="1:13" ht="14.1" thickBot="1"/>
    <row r="108" spans="1:13" ht="14.4" thickBot="1">
      <c r="B108" s="835">
        <v>2015</v>
      </c>
      <c r="C108" s="836"/>
      <c r="D108" s="837"/>
    </row>
    <row r="109" spans="1:13" ht="26.1" thickBot="1">
      <c r="B109" s="56" t="s">
        <v>379</v>
      </c>
      <c r="C109" s="117" t="s">
        <v>380</v>
      </c>
      <c r="D109" s="44" t="s">
        <v>381</v>
      </c>
      <c r="E109" s="39" t="s">
        <v>384</v>
      </c>
      <c r="G109" s="838" t="s">
        <v>385</v>
      </c>
      <c r="H109" s="839"/>
      <c r="I109" s="840"/>
    </row>
    <row r="110" spans="1:13" ht="41.4">
      <c r="B110" s="506">
        <v>70</v>
      </c>
      <c r="C110" s="711" t="s">
        <v>642</v>
      </c>
      <c r="D110" s="508">
        <v>956</v>
      </c>
      <c r="E110" s="493">
        <v>4024</v>
      </c>
      <c r="G110" s="54" t="s">
        <v>87</v>
      </c>
      <c r="H110" s="55" t="s">
        <v>409</v>
      </c>
      <c r="I110" s="55" t="s">
        <v>88</v>
      </c>
    </row>
    <row r="111" spans="1:13" ht="43.5" thickBot="1">
      <c r="B111" s="506">
        <v>100</v>
      </c>
      <c r="C111" s="712" t="s">
        <v>643</v>
      </c>
      <c r="D111" s="508">
        <v>590</v>
      </c>
      <c r="E111" s="493">
        <v>4024</v>
      </c>
      <c r="G111" s="471">
        <f>E110</f>
        <v>4024</v>
      </c>
      <c r="H111" s="118">
        <f>G111/12</f>
        <v>335.33333333333331</v>
      </c>
      <c r="I111" s="118">
        <f>G111/365</f>
        <v>11.024657534246575</v>
      </c>
    </row>
    <row r="112" spans="1:13" ht="43.2">
      <c r="B112" s="506">
        <v>150</v>
      </c>
      <c r="C112" s="712" t="s">
        <v>643</v>
      </c>
      <c r="D112" s="508">
        <v>90</v>
      </c>
      <c r="E112" s="493">
        <v>4024</v>
      </c>
      <c r="G112" s="603"/>
      <c r="H112" s="604"/>
      <c r="I112" s="604"/>
    </row>
    <row r="113" spans="1:11" ht="14.4">
      <c r="B113" s="506">
        <v>35</v>
      </c>
      <c r="C113" s="507" t="s">
        <v>644</v>
      </c>
      <c r="D113" s="508">
        <v>67</v>
      </c>
      <c r="E113" s="493">
        <v>4024</v>
      </c>
      <c r="G113" s="603"/>
      <c r="H113" s="604"/>
      <c r="I113" s="604"/>
    </row>
    <row r="114" spans="1:11" ht="42">
      <c r="B114" s="506">
        <v>70</v>
      </c>
      <c r="C114" s="711" t="s">
        <v>645</v>
      </c>
      <c r="D114" s="508">
        <v>16</v>
      </c>
      <c r="E114" s="493">
        <v>4024</v>
      </c>
      <c r="G114" s="603"/>
      <c r="H114" s="604"/>
      <c r="I114" s="604"/>
    </row>
    <row r="115" spans="1:11" ht="14.4" thickBot="1">
      <c r="D115">
        <f>D110+D111+D114+D112+D113</f>
        <v>1719</v>
      </c>
      <c r="E115" s="80" t="s">
        <v>7</v>
      </c>
      <c r="I115" s="99"/>
    </row>
    <row r="117" spans="1:11" ht="21" customHeight="1">
      <c r="B117" s="799" t="s">
        <v>382</v>
      </c>
      <c r="C117" s="799"/>
      <c r="D117" s="799"/>
      <c r="E117" s="799"/>
      <c r="F117" s="799"/>
      <c r="G117" s="799"/>
      <c r="H117" s="799"/>
      <c r="I117" s="799"/>
      <c r="J117" s="799"/>
      <c r="K117" s="799"/>
    </row>
    <row r="118" spans="1:11">
      <c r="B118" s="373" t="s">
        <v>383</v>
      </c>
    </row>
    <row r="121" spans="1:11" s="350" customFormat="1" ht="14.1">
      <c r="A121" s="350" t="s">
        <v>102</v>
      </c>
    </row>
    <row r="123" spans="1:11" ht="14.1" thickBot="1"/>
    <row r="124" spans="1:11" ht="49.2">
      <c r="B124" s="607" t="s">
        <v>78</v>
      </c>
      <c r="C124" s="608" t="s">
        <v>79</v>
      </c>
      <c r="D124" s="609" t="s">
        <v>386</v>
      </c>
      <c r="E124" s="609" t="s">
        <v>388</v>
      </c>
      <c r="F124" s="610" t="s">
        <v>389</v>
      </c>
      <c r="I124" s="422"/>
      <c r="J124" s="422"/>
      <c r="K124" s="422"/>
    </row>
    <row r="125" spans="1:11" ht="25.2">
      <c r="B125" s="611">
        <v>1</v>
      </c>
      <c r="C125" s="605" t="s">
        <v>556</v>
      </c>
      <c r="D125" s="616">
        <v>73.91</v>
      </c>
      <c r="E125" s="606" t="s">
        <v>34</v>
      </c>
      <c r="F125" s="617">
        <v>18929</v>
      </c>
    </row>
    <row r="126" spans="1:11" ht="37.799999999999997">
      <c r="B126" s="611">
        <v>2</v>
      </c>
      <c r="C126" s="605" t="s">
        <v>549</v>
      </c>
      <c r="D126" s="616">
        <v>0.25</v>
      </c>
      <c r="E126" s="606" t="s">
        <v>34</v>
      </c>
      <c r="F126" s="617">
        <v>2000</v>
      </c>
    </row>
    <row r="127" spans="1:11" ht="37.799999999999997">
      <c r="B127" s="611">
        <v>3</v>
      </c>
      <c r="C127" s="605" t="s">
        <v>550</v>
      </c>
      <c r="D127" s="616">
        <v>0.1</v>
      </c>
      <c r="E127" s="606" t="s">
        <v>286</v>
      </c>
      <c r="F127" s="617">
        <v>2.5</v>
      </c>
    </row>
    <row r="128" spans="1:11" ht="50.4">
      <c r="B128" s="611">
        <v>4</v>
      </c>
      <c r="C128" s="756" t="s">
        <v>662</v>
      </c>
      <c r="D128" s="616">
        <v>37.22</v>
      </c>
      <c r="E128" s="606" t="s">
        <v>286</v>
      </c>
      <c r="F128" s="617">
        <v>58</v>
      </c>
      <c r="J128" s="423"/>
    </row>
    <row r="129" spans="2:10" ht="25.2">
      <c r="B129" s="611">
        <v>5</v>
      </c>
      <c r="C129" s="605" t="s">
        <v>551</v>
      </c>
      <c r="D129" s="616">
        <v>1.45</v>
      </c>
      <c r="E129" s="606" t="s">
        <v>34</v>
      </c>
      <c r="F129" s="617">
        <v>1500</v>
      </c>
      <c r="J129" s="423"/>
    </row>
    <row r="130" spans="2:10" ht="50.4">
      <c r="B130" s="611">
        <v>6</v>
      </c>
      <c r="C130" s="756" t="s">
        <v>656</v>
      </c>
      <c r="D130" s="616">
        <v>31.5</v>
      </c>
      <c r="E130" s="606" t="s">
        <v>286</v>
      </c>
      <c r="F130" s="617">
        <v>41.67</v>
      </c>
      <c r="J130" s="423"/>
    </row>
    <row r="131" spans="2:10" ht="50.4">
      <c r="B131" s="611">
        <v>7</v>
      </c>
      <c r="C131" s="756" t="s">
        <v>657</v>
      </c>
      <c r="D131" s="616">
        <v>29.88</v>
      </c>
      <c r="E131" s="606" t="s">
        <v>34</v>
      </c>
      <c r="F131" s="617">
        <v>40282</v>
      </c>
      <c r="J131" s="423"/>
    </row>
    <row r="132" spans="2:10" ht="25.2">
      <c r="B132" s="611">
        <v>8</v>
      </c>
      <c r="C132" s="756" t="s">
        <v>658</v>
      </c>
      <c r="D132" s="616">
        <v>11.84</v>
      </c>
      <c r="E132" s="606" t="s">
        <v>34</v>
      </c>
      <c r="F132" s="617">
        <v>14112</v>
      </c>
      <c r="J132" s="423"/>
    </row>
    <row r="133" spans="2:10" ht="37.799999999999997">
      <c r="B133" s="611">
        <v>9</v>
      </c>
      <c r="C133" s="756" t="s">
        <v>659</v>
      </c>
      <c r="D133" s="616">
        <v>53.82</v>
      </c>
      <c r="E133" s="606" t="s">
        <v>34</v>
      </c>
      <c r="F133" s="617">
        <v>41534</v>
      </c>
      <c r="J133" s="423"/>
    </row>
    <row r="134" spans="2:10" ht="25.2">
      <c r="B134" s="611">
        <v>10</v>
      </c>
      <c r="C134" s="756" t="s">
        <v>660</v>
      </c>
      <c r="D134" s="616">
        <v>17.239999999999998</v>
      </c>
      <c r="E134" s="606" t="s">
        <v>34</v>
      </c>
      <c r="F134" s="617">
        <v>19655</v>
      </c>
      <c r="J134" s="423"/>
    </row>
    <row r="135" spans="2:10" ht="25.2">
      <c r="B135" s="611">
        <v>11</v>
      </c>
      <c r="C135" s="605" t="s">
        <v>578</v>
      </c>
      <c r="D135" s="616">
        <v>6.55</v>
      </c>
      <c r="E135" s="606" t="s">
        <v>34</v>
      </c>
      <c r="F135" s="617">
        <v>9307</v>
      </c>
      <c r="J135" s="423"/>
    </row>
    <row r="136" spans="2:10" ht="37.799999999999997">
      <c r="B136" s="611">
        <v>12</v>
      </c>
      <c r="C136" s="605" t="s">
        <v>557</v>
      </c>
      <c r="D136" s="616">
        <v>15.79</v>
      </c>
      <c r="E136" s="606" t="s">
        <v>34</v>
      </c>
      <c r="F136" s="617">
        <v>10002</v>
      </c>
      <c r="J136" s="423"/>
    </row>
    <row r="137" spans="2:10" ht="25.2">
      <c r="B137" s="611">
        <v>13</v>
      </c>
      <c r="C137" s="605" t="s">
        <v>558</v>
      </c>
      <c r="D137" s="616">
        <v>13.08</v>
      </c>
      <c r="E137" s="606" t="s">
        <v>34</v>
      </c>
      <c r="F137" s="617">
        <v>9825</v>
      </c>
      <c r="J137" s="423"/>
    </row>
    <row r="138" spans="2:10" ht="37.799999999999997">
      <c r="B138" s="611">
        <v>14</v>
      </c>
      <c r="C138" s="756" t="s">
        <v>661</v>
      </c>
      <c r="D138" s="616">
        <v>17</v>
      </c>
      <c r="E138" s="606" t="s">
        <v>34</v>
      </c>
      <c r="F138" s="617">
        <v>18554</v>
      </c>
      <c r="J138" s="423"/>
    </row>
    <row r="139" spans="2:10" ht="54" customHeight="1">
      <c r="B139" s="611">
        <v>15</v>
      </c>
      <c r="C139" s="756" t="s">
        <v>663</v>
      </c>
      <c r="D139" s="616">
        <v>27.16</v>
      </c>
      <c r="E139" s="606" t="s">
        <v>286</v>
      </c>
      <c r="F139" s="617">
        <v>36.799999999999997</v>
      </c>
      <c r="J139" s="423"/>
    </row>
    <row r="140" spans="2:10" ht="27.6" customHeight="1">
      <c r="B140" s="611">
        <v>16</v>
      </c>
      <c r="C140" s="605" t="s">
        <v>559</v>
      </c>
      <c r="D140" s="616">
        <v>53.99</v>
      </c>
      <c r="E140" s="606" t="s">
        <v>34</v>
      </c>
      <c r="F140" s="617">
        <v>12342</v>
      </c>
      <c r="J140" s="423"/>
    </row>
    <row r="141" spans="2:10" ht="43.2" customHeight="1">
      <c r="B141" s="611">
        <v>17</v>
      </c>
      <c r="C141" s="605" t="s">
        <v>560</v>
      </c>
      <c r="D141" s="616">
        <v>86.12</v>
      </c>
      <c r="E141" s="606" t="s">
        <v>34</v>
      </c>
      <c r="F141" s="617">
        <v>35654</v>
      </c>
      <c r="J141" s="423"/>
    </row>
    <row r="142" spans="2:10" ht="53.4" customHeight="1">
      <c r="B142" s="611">
        <v>18</v>
      </c>
      <c r="C142" s="605" t="s">
        <v>561</v>
      </c>
      <c r="D142" s="616">
        <v>9.2200000000000006</v>
      </c>
      <c r="E142" s="606" t="s">
        <v>286</v>
      </c>
      <c r="F142" s="617">
        <v>6.7</v>
      </c>
      <c r="J142" s="423"/>
    </row>
    <row r="143" spans="2:10" ht="55.2" customHeight="1">
      <c r="B143" s="611">
        <v>19</v>
      </c>
      <c r="C143" s="605" t="s">
        <v>552</v>
      </c>
      <c r="D143" s="616">
        <v>34.549999999999997</v>
      </c>
      <c r="E143" s="606" t="s">
        <v>34</v>
      </c>
      <c r="F143" s="617">
        <v>35444</v>
      </c>
      <c r="J143" s="423"/>
    </row>
    <row r="144" spans="2:10" ht="43.2" customHeight="1">
      <c r="B144" s="611">
        <v>20</v>
      </c>
      <c r="C144" s="605" t="s">
        <v>553</v>
      </c>
      <c r="D144" s="616">
        <v>23.11</v>
      </c>
      <c r="E144" s="606" t="s">
        <v>34</v>
      </c>
      <c r="F144" s="617">
        <v>26554</v>
      </c>
      <c r="J144" s="423"/>
    </row>
    <row r="145" spans="2:10" ht="41.4" customHeight="1">
      <c r="B145" s="611">
        <v>21</v>
      </c>
      <c r="C145" s="605" t="s">
        <v>554</v>
      </c>
      <c r="D145" s="616" t="s">
        <v>579</v>
      </c>
      <c r="E145" s="606" t="s">
        <v>34</v>
      </c>
      <c r="F145" s="617">
        <v>37889</v>
      </c>
      <c r="J145" s="423"/>
    </row>
    <row r="146" spans="2:10" ht="37.799999999999997">
      <c r="B146" s="611">
        <v>22</v>
      </c>
      <c r="C146" s="605" t="s">
        <v>555</v>
      </c>
      <c r="D146" s="616">
        <v>34.56</v>
      </c>
      <c r="E146" s="606" t="s">
        <v>34</v>
      </c>
      <c r="F146" s="617">
        <v>54665</v>
      </c>
      <c r="J146" s="423"/>
    </row>
    <row r="147" spans="2:10" ht="25.2">
      <c r="B147" s="611">
        <v>23</v>
      </c>
      <c r="C147" s="605" t="s">
        <v>562</v>
      </c>
      <c r="D147" s="616">
        <v>2.0449999999999999</v>
      </c>
      <c r="E147" s="606" t="s">
        <v>398</v>
      </c>
      <c r="F147" s="617">
        <v>461.44</v>
      </c>
      <c r="J147" s="423"/>
    </row>
    <row r="148" spans="2:10" ht="25.2">
      <c r="B148" s="611">
        <v>24</v>
      </c>
      <c r="C148" s="605" t="s">
        <v>563</v>
      </c>
      <c r="D148" s="616">
        <v>0.78</v>
      </c>
      <c r="E148" s="606" t="s">
        <v>34</v>
      </c>
      <c r="F148" s="617">
        <v>2154</v>
      </c>
      <c r="J148" s="423"/>
    </row>
    <row r="149" spans="2:10" ht="25.2">
      <c r="B149" s="611">
        <v>25</v>
      </c>
      <c r="C149" s="605" t="s">
        <v>564</v>
      </c>
      <c r="D149" s="616">
        <v>0.1</v>
      </c>
      <c r="E149" s="606" t="s">
        <v>286</v>
      </c>
      <c r="F149" s="617">
        <v>1</v>
      </c>
      <c r="J149" s="423"/>
    </row>
    <row r="150" spans="2:10">
      <c r="B150" s="611">
        <v>26</v>
      </c>
      <c r="C150" s="605" t="s">
        <v>565</v>
      </c>
      <c r="D150" s="616">
        <v>53.99</v>
      </c>
      <c r="E150" s="606" t="s">
        <v>34</v>
      </c>
      <c r="F150" s="617">
        <v>33636</v>
      </c>
      <c r="J150" s="423"/>
    </row>
    <row r="151" spans="2:10">
      <c r="B151" s="611">
        <v>27</v>
      </c>
      <c r="C151" s="605" t="s">
        <v>566</v>
      </c>
      <c r="D151" s="616">
        <v>173.12</v>
      </c>
      <c r="E151" s="606" t="s">
        <v>34</v>
      </c>
      <c r="F151" s="617">
        <v>830638</v>
      </c>
      <c r="J151" s="423"/>
    </row>
    <row r="152" spans="2:10" ht="25.2">
      <c r="B152" s="611">
        <v>28</v>
      </c>
      <c r="C152" s="605" t="s">
        <v>567</v>
      </c>
      <c r="D152" s="616">
        <v>16.66</v>
      </c>
      <c r="E152" s="606" t="s">
        <v>34</v>
      </c>
      <c r="F152" s="617">
        <v>4200</v>
      </c>
      <c r="J152" s="423"/>
    </row>
    <row r="153" spans="2:10" ht="32.4" customHeight="1">
      <c r="B153" s="611">
        <v>29</v>
      </c>
      <c r="C153" s="605" t="s">
        <v>568</v>
      </c>
      <c r="D153" s="616">
        <v>19.23</v>
      </c>
      <c r="E153" s="606" t="s">
        <v>34</v>
      </c>
      <c r="F153" s="617">
        <v>21336</v>
      </c>
      <c r="J153" s="423"/>
    </row>
    <row r="154" spans="2:10">
      <c r="B154" s="611">
        <v>30</v>
      </c>
      <c r="C154" s="605" t="s">
        <v>569</v>
      </c>
      <c r="D154" s="616">
        <v>1.03</v>
      </c>
      <c r="E154" s="606" t="s">
        <v>286</v>
      </c>
      <c r="F154" s="617">
        <v>1.5</v>
      </c>
      <c r="J154" s="423"/>
    </row>
    <row r="155" spans="2:10">
      <c r="B155" s="611">
        <v>31</v>
      </c>
      <c r="C155" s="605" t="s">
        <v>570</v>
      </c>
      <c r="D155" s="616">
        <v>1.2</v>
      </c>
      <c r="E155" s="606" t="s">
        <v>286</v>
      </c>
      <c r="F155" s="617">
        <v>1.3</v>
      </c>
      <c r="J155" s="423"/>
    </row>
    <row r="156" spans="2:10">
      <c r="B156" s="611">
        <v>32</v>
      </c>
      <c r="C156" s="605" t="s">
        <v>571</v>
      </c>
      <c r="D156" s="616">
        <v>1.6</v>
      </c>
      <c r="E156" s="606" t="s">
        <v>286</v>
      </c>
      <c r="F156" s="617">
        <v>0.9</v>
      </c>
      <c r="J156" s="423"/>
    </row>
    <row r="157" spans="2:10">
      <c r="B157" s="611">
        <v>33</v>
      </c>
      <c r="C157" s="605" t="s">
        <v>572</v>
      </c>
      <c r="D157" s="616">
        <v>0.5</v>
      </c>
      <c r="E157" s="606" t="s">
        <v>286</v>
      </c>
      <c r="F157" s="617">
        <v>2.1</v>
      </c>
      <c r="J157" s="423"/>
    </row>
    <row r="158" spans="2:10" ht="25.2">
      <c r="B158" s="611">
        <v>34</v>
      </c>
      <c r="C158" s="605" t="s">
        <v>573</v>
      </c>
      <c r="D158" s="616">
        <v>0.9</v>
      </c>
      <c r="E158" s="606" t="s">
        <v>286</v>
      </c>
      <c r="F158" s="617">
        <v>1.8</v>
      </c>
      <c r="J158" s="423"/>
    </row>
    <row r="159" spans="2:10">
      <c r="B159" s="611">
        <v>35</v>
      </c>
      <c r="C159" s="605" t="s">
        <v>575</v>
      </c>
      <c r="D159" s="616">
        <v>0.8</v>
      </c>
      <c r="E159" s="606" t="s">
        <v>286</v>
      </c>
      <c r="F159" s="617">
        <v>0.6</v>
      </c>
      <c r="J159" s="423"/>
    </row>
    <row r="160" spans="2:10">
      <c r="B160" s="611">
        <v>36</v>
      </c>
      <c r="C160" s="605" t="s">
        <v>576</v>
      </c>
      <c r="D160" s="616">
        <v>1.2</v>
      </c>
      <c r="E160" s="606" t="s">
        <v>286</v>
      </c>
      <c r="F160" s="617">
        <v>1.2</v>
      </c>
      <c r="J160" s="423"/>
    </row>
    <row r="161" spans="2:11">
      <c r="B161" s="611">
        <v>37</v>
      </c>
      <c r="C161" s="605" t="s">
        <v>577</v>
      </c>
      <c r="D161" s="616">
        <v>0.4</v>
      </c>
      <c r="E161" s="606" t="s">
        <v>286</v>
      </c>
      <c r="F161" s="617">
        <v>0.5</v>
      </c>
      <c r="J161" s="423"/>
    </row>
    <row r="162" spans="2:11">
      <c r="B162" s="611">
        <v>38</v>
      </c>
      <c r="C162" s="605" t="s">
        <v>592</v>
      </c>
      <c r="D162" s="616">
        <v>0.3</v>
      </c>
      <c r="E162" s="606" t="s">
        <v>286</v>
      </c>
      <c r="F162" s="617">
        <v>0.5</v>
      </c>
      <c r="J162" s="423"/>
    </row>
    <row r="163" spans="2:11" ht="25.2">
      <c r="B163" s="653">
        <v>39</v>
      </c>
      <c r="C163" s="654" t="s">
        <v>593</v>
      </c>
      <c r="D163" s="655" t="s">
        <v>595</v>
      </c>
      <c r="E163" s="656" t="s">
        <v>595</v>
      </c>
      <c r="F163" s="657" t="s">
        <v>595</v>
      </c>
      <c r="J163" s="423"/>
    </row>
    <row r="164" spans="2:11" ht="25.2">
      <c r="B164" s="653">
        <v>40</v>
      </c>
      <c r="C164" s="654" t="s">
        <v>594</v>
      </c>
      <c r="D164" s="655" t="s">
        <v>595</v>
      </c>
      <c r="E164" s="656" t="s">
        <v>595</v>
      </c>
      <c r="F164" s="657" t="s">
        <v>595</v>
      </c>
      <c r="J164" s="423"/>
    </row>
    <row r="165" spans="2:11" ht="14.1" thickBot="1">
      <c r="B165" s="612"/>
      <c r="C165" s="613" t="s">
        <v>428</v>
      </c>
      <c r="D165" s="614">
        <f>SUM(D125:D162)</f>
        <v>852.19500000000005</v>
      </c>
      <c r="E165" s="5"/>
      <c r="F165" s="615"/>
    </row>
    <row r="167" spans="2:11" ht="13.95" customHeight="1">
      <c r="B167" s="799" t="s">
        <v>387</v>
      </c>
      <c r="C167" s="799"/>
      <c r="D167" s="799"/>
      <c r="E167" s="799"/>
      <c r="F167" s="799"/>
      <c r="G167" s="799"/>
      <c r="H167" s="799"/>
      <c r="I167" s="799"/>
      <c r="J167" s="799"/>
      <c r="K167" s="799"/>
    </row>
    <row r="168" spans="2:11">
      <c r="B168" s="373" t="s">
        <v>390</v>
      </c>
      <c r="C168" s="373"/>
      <c r="D168" s="373"/>
      <c r="E168" s="373"/>
      <c r="F168" s="373"/>
      <c r="G168" s="373"/>
      <c r="H168" s="373"/>
      <c r="I168" s="373"/>
      <c r="J168" s="373"/>
      <c r="K168" s="373"/>
    </row>
    <row r="169" spans="2:11">
      <c r="B169" s="373" t="s">
        <v>391</v>
      </c>
      <c r="C169" s="373"/>
      <c r="D169" s="373"/>
      <c r="E169" s="373"/>
      <c r="F169" s="373"/>
      <c r="G169" s="373"/>
      <c r="H169" s="373"/>
      <c r="I169" s="373"/>
      <c r="J169" s="373"/>
      <c r="K169" s="373"/>
    </row>
    <row r="170" spans="2:11">
      <c r="B170" s="474" t="s">
        <v>298</v>
      </c>
      <c r="C170" s="373"/>
      <c r="D170" s="373"/>
      <c r="E170" s="373"/>
      <c r="F170" s="373"/>
      <c r="G170" s="373"/>
      <c r="H170" s="373"/>
      <c r="I170" s="373"/>
      <c r="J170" s="373"/>
      <c r="K170" s="373"/>
    </row>
    <row r="171" spans="2:11">
      <c r="B171" s="474" t="s">
        <v>436</v>
      </c>
      <c r="C171" s="373"/>
      <c r="D171" s="373"/>
      <c r="E171" s="373"/>
      <c r="F171" s="373"/>
      <c r="G171" s="373"/>
      <c r="H171" s="373"/>
      <c r="I171" s="373"/>
      <c r="J171" s="373"/>
      <c r="K171" s="373"/>
    </row>
    <row r="172" spans="2:11">
      <c r="B172" s="474" t="s">
        <v>392</v>
      </c>
      <c r="C172" s="373"/>
      <c r="D172" s="373"/>
      <c r="E172" s="373"/>
      <c r="F172" s="373"/>
      <c r="G172" s="373"/>
      <c r="H172" s="373"/>
      <c r="I172" s="373"/>
      <c r="J172" s="373"/>
      <c r="K172" s="373"/>
    </row>
    <row r="173" spans="2:11">
      <c r="B173" s="474" t="s">
        <v>393</v>
      </c>
      <c r="C173" s="373"/>
      <c r="D173" s="373"/>
      <c r="E173" s="373"/>
      <c r="F173" s="373"/>
      <c r="G173" s="373"/>
      <c r="H173" s="373"/>
      <c r="I173" s="373"/>
      <c r="J173" s="373"/>
      <c r="K173" s="373"/>
    </row>
    <row r="174" spans="2:11">
      <c r="B174" s="474" t="s">
        <v>399</v>
      </c>
      <c r="C174" s="373"/>
      <c r="D174" s="373"/>
      <c r="E174" s="373"/>
      <c r="F174" s="373"/>
      <c r="G174" s="373"/>
      <c r="H174" s="373"/>
      <c r="I174" s="373"/>
      <c r="J174" s="373"/>
      <c r="K174" s="373"/>
    </row>
    <row r="175" spans="2:11">
      <c r="B175" s="474" t="s">
        <v>394</v>
      </c>
      <c r="C175" s="373"/>
      <c r="D175" s="373"/>
      <c r="E175" s="373"/>
      <c r="F175" s="373"/>
      <c r="G175" s="373"/>
      <c r="H175" s="373"/>
      <c r="I175" s="373"/>
      <c r="J175" s="373"/>
      <c r="K175" s="373"/>
    </row>
    <row r="176" spans="2:11">
      <c r="B176" s="474" t="s">
        <v>272</v>
      </c>
      <c r="C176" s="373"/>
      <c r="D176" s="373"/>
      <c r="E176" s="373"/>
      <c r="F176" s="373"/>
      <c r="G176" s="373"/>
      <c r="H176" s="373"/>
      <c r="I176" s="373"/>
      <c r="J176" s="373"/>
      <c r="K176" s="373"/>
    </row>
    <row r="177" spans="1:11">
      <c r="B177" s="474" t="s">
        <v>273</v>
      </c>
      <c r="C177" s="373"/>
      <c r="D177" s="373"/>
      <c r="E177" s="373"/>
      <c r="F177" s="373"/>
      <c r="G177" s="373"/>
      <c r="H177" s="373"/>
      <c r="I177" s="373"/>
      <c r="J177" s="373"/>
      <c r="K177" s="373"/>
    </row>
    <row r="179" spans="1:11" s="350" customFormat="1" ht="14.1">
      <c r="A179" s="350" t="s">
        <v>400</v>
      </c>
    </row>
    <row r="181" spans="1:11" ht="14.1" thickBot="1"/>
    <row r="182" spans="1:11">
      <c r="B182" s="450"/>
      <c r="C182" s="451"/>
      <c r="D182" s="451" t="s">
        <v>330</v>
      </c>
      <c r="E182" s="452">
        <v>2016</v>
      </c>
      <c r="F182" s="451">
        <v>2017</v>
      </c>
      <c r="G182" s="452">
        <v>2018</v>
      </c>
      <c r="H182" s="451">
        <v>2019</v>
      </c>
      <c r="I182" s="452" t="s">
        <v>331</v>
      </c>
    </row>
    <row r="183" spans="1:11">
      <c r="B183" s="453"/>
      <c r="C183" s="375"/>
      <c r="D183" s="375"/>
      <c r="E183" s="454"/>
      <c r="F183" s="375"/>
      <c r="G183" s="454"/>
      <c r="H183" s="375"/>
      <c r="I183" s="454"/>
    </row>
    <row r="184" spans="1:11" ht="21">
      <c r="B184" s="455" t="s">
        <v>401</v>
      </c>
      <c r="C184" s="375"/>
      <c r="D184" s="509">
        <v>538119</v>
      </c>
      <c r="E184" s="509">
        <f>D184*(1+(D6-100)/6/100)</f>
        <v>541527.08699999994</v>
      </c>
      <c r="F184" s="509">
        <f>E184*(1+(E6-100)/6/100)</f>
        <v>545047.01306549995</v>
      </c>
      <c r="G184" s="509">
        <f>F184*(1+(F6-100)/6/100)</f>
        <v>548680.6598192699</v>
      </c>
      <c r="H184" s="509">
        <f>G184*(1+(G6-100)/6/100)</f>
        <v>552247.08410809515</v>
      </c>
      <c r="I184" s="509">
        <f>H184*(1+(H6-100)/6/100)</f>
        <v>555744.64897411305</v>
      </c>
    </row>
    <row r="187" spans="1:11">
      <c r="B187" s="373" t="s">
        <v>451</v>
      </c>
    </row>
    <row r="188" spans="1:11" ht="37.200000000000003" customHeight="1">
      <c r="B188" s="790" t="s">
        <v>335</v>
      </c>
      <c r="C188" s="790"/>
      <c r="D188" s="790"/>
      <c r="E188" s="790"/>
      <c r="F188" s="790"/>
      <c r="G188" s="790"/>
    </row>
    <row r="190" spans="1:11" ht="23.4">
      <c r="B190" s="621" t="s">
        <v>402</v>
      </c>
      <c r="C190" s="622">
        <v>0.82099999999999995</v>
      </c>
    </row>
    <row r="191" spans="1:11">
      <c r="E191" s="476"/>
    </row>
    <row r="192" spans="1:11" ht="46.2" customHeight="1">
      <c r="B192" s="833" t="s">
        <v>408</v>
      </c>
      <c r="C192" s="833"/>
      <c r="D192" s="833"/>
      <c r="E192" s="833"/>
      <c r="F192" s="833"/>
      <c r="G192" s="833"/>
      <c r="H192" s="833"/>
      <c r="I192" s="833"/>
      <c r="J192" s="833"/>
    </row>
    <row r="195" spans="1:4" s="350" customFormat="1" ht="14.1">
      <c r="A195" s="350" t="s">
        <v>404</v>
      </c>
    </row>
    <row r="196" spans="1:4" ht="14.1" thickBot="1"/>
    <row r="197" spans="1:4" ht="38.700000000000003">
      <c r="C197" s="257" t="s">
        <v>405</v>
      </c>
      <c r="D197" s="257" t="s">
        <v>406</v>
      </c>
    </row>
    <row r="198" spans="1:4" ht="23.4">
      <c r="B198" s="618" t="s">
        <v>119</v>
      </c>
      <c r="C198" s="619">
        <v>66</v>
      </c>
      <c r="D198" s="620">
        <v>68.400000000000006</v>
      </c>
    </row>
    <row r="199" spans="1:4" ht="23.4">
      <c r="B199" s="618" t="s">
        <v>120</v>
      </c>
      <c r="C199" s="619">
        <f>I21+I22+I23-C198</f>
        <v>17</v>
      </c>
      <c r="D199" s="620">
        <v>310.2</v>
      </c>
    </row>
    <row r="201" spans="1:4">
      <c r="B201" s="373" t="s">
        <v>451</v>
      </c>
    </row>
    <row r="202" spans="1:4">
      <c r="B202" s="373" t="s">
        <v>407</v>
      </c>
    </row>
  </sheetData>
  <mergeCells count="65">
    <mergeCell ref="B188:G188"/>
    <mergeCell ref="B192:J192"/>
    <mergeCell ref="N40:O40"/>
    <mergeCell ref="N41:O41"/>
    <mergeCell ref="B167:K167"/>
    <mergeCell ref="B108:D108"/>
    <mergeCell ref="G109:I109"/>
    <mergeCell ref="B117:K117"/>
    <mergeCell ref="B57:K57"/>
    <mergeCell ref="B68:D68"/>
    <mergeCell ref="F68:J68"/>
    <mergeCell ref="B66:C66"/>
    <mergeCell ref="B60:C60"/>
    <mergeCell ref="B61:C61"/>
    <mergeCell ref="B102:K102"/>
    <mergeCell ref="F66:G66"/>
    <mergeCell ref="B10:I10"/>
    <mergeCell ref="B19:C19"/>
    <mergeCell ref="B20:C20"/>
    <mergeCell ref="B23:C23"/>
    <mergeCell ref="B4:G4"/>
    <mergeCell ref="B15:N15"/>
    <mergeCell ref="B21:C22"/>
    <mergeCell ref="L22:Q22"/>
    <mergeCell ref="N39:O39"/>
    <mergeCell ref="B62:C62"/>
    <mergeCell ref="B63:C63"/>
    <mergeCell ref="B64:C64"/>
    <mergeCell ref="B65:C65"/>
    <mergeCell ref="F60:G60"/>
    <mergeCell ref="F61:G61"/>
    <mergeCell ref="F62:G62"/>
    <mergeCell ref="F63:G63"/>
    <mergeCell ref="F64:G64"/>
    <mergeCell ref="F65:G65"/>
    <mergeCell ref="N34:O34"/>
    <mergeCell ref="N35:O35"/>
    <mergeCell ref="N36:O36"/>
    <mergeCell ref="N37:O37"/>
    <mergeCell ref="N38:O38"/>
    <mergeCell ref="B34:C34"/>
    <mergeCell ref="B35:C35"/>
    <mergeCell ref="B39:K39"/>
    <mergeCell ref="G43:M43"/>
    <mergeCell ref="G44:M44"/>
    <mergeCell ref="P78:R78"/>
    <mergeCell ref="B98:K98"/>
    <mergeCell ref="B101:K101"/>
    <mergeCell ref="B100:K100"/>
    <mergeCell ref="B99:K99"/>
    <mergeCell ref="L97:L99"/>
    <mergeCell ref="L78:M78"/>
    <mergeCell ref="L79:L81"/>
    <mergeCell ref="L82:L84"/>
    <mergeCell ref="L85:L87"/>
    <mergeCell ref="L88:L90"/>
    <mergeCell ref="L91:L93"/>
    <mergeCell ref="L94:L96"/>
    <mergeCell ref="B82:B84"/>
    <mergeCell ref="B85:B87"/>
    <mergeCell ref="E73:I73"/>
    <mergeCell ref="B91:B93"/>
    <mergeCell ref="B94:B96"/>
    <mergeCell ref="B88:B90"/>
    <mergeCell ref="B79:B8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B1:N50"/>
  <sheetViews>
    <sheetView view="pageBreakPreview" zoomScaleNormal="100" zoomScaleSheetLayoutView="100" workbookViewId="0">
      <selection activeCell="J9" sqref="J9"/>
    </sheetView>
  </sheetViews>
  <sheetFormatPr defaultRowHeight="13.8"/>
  <cols>
    <col min="1" max="1" width="3.6171875" customWidth="1"/>
    <col min="2" max="2" width="12.90234375" customWidth="1"/>
    <col min="3" max="3" width="10" customWidth="1"/>
    <col min="4" max="4" width="11.6171875" customWidth="1"/>
    <col min="5" max="5" width="16.7109375" customWidth="1"/>
    <col min="6" max="6" width="13.09375" customWidth="1"/>
    <col min="8" max="8" width="9.47265625" customWidth="1"/>
    <col min="9" max="9" width="10.1875" customWidth="1"/>
    <col min="10" max="10" width="13" customWidth="1"/>
    <col min="11" max="11" width="13.47265625" customWidth="1"/>
    <col min="12" max="12" width="16.09375" customWidth="1"/>
    <col min="13" max="13" width="18.47265625" customWidth="1"/>
  </cols>
  <sheetData>
    <row r="1" spans="2:14" ht="14.1" thickBot="1"/>
    <row r="2" spans="2:14" ht="14.4" thickBot="1">
      <c r="B2" s="848" t="s">
        <v>0</v>
      </c>
      <c r="C2" s="849"/>
      <c r="D2" s="849"/>
      <c r="E2" s="849"/>
      <c r="F2" s="849"/>
      <c r="G2" s="849"/>
      <c r="H2" s="849"/>
      <c r="I2" s="849"/>
      <c r="J2" s="849"/>
      <c r="K2" s="849"/>
      <c r="L2" s="850"/>
    </row>
    <row r="3" spans="2:14" ht="14.1" thickBot="1"/>
    <row r="4" spans="2:14" ht="16.5" customHeight="1" thickBot="1">
      <c r="B4" s="309"/>
      <c r="C4" s="309"/>
      <c r="D4" s="309"/>
      <c r="E4" s="309"/>
      <c r="F4" s="309"/>
      <c r="H4" s="390" t="s">
        <v>157</v>
      </c>
      <c r="I4" s="8"/>
      <c r="J4" s="8"/>
      <c r="K4" s="8"/>
      <c r="L4" s="8"/>
    </row>
    <row r="5" spans="2:14" ht="48" customHeight="1">
      <c r="B5" s="310"/>
      <c r="C5" s="310"/>
      <c r="D5" s="310"/>
      <c r="E5" s="311"/>
      <c r="F5" s="311"/>
      <c r="G5" s="259"/>
      <c r="H5" s="287" t="s">
        <v>1</v>
      </c>
      <c r="I5" s="286" t="s">
        <v>2</v>
      </c>
      <c r="J5" s="286" t="s">
        <v>3</v>
      </c>
      <c r="K5" s="286" t="s">
        <v>302</v>
      </c>
      <c r="L5" s="283" t="s">
        <v>303</v>
      </c>
      <c r="M5" s="198" t="s">
        <v>230</v>
      </c>
    </row>
    <row r="6" spans="2:14">
      <c r="B6" s="312"/>
      <c r="C6" s="313"/>
      <c r="D6" s="314"/>
      <c r="E6" s="315"/>
      <c r="F6" s="316"/>
      <c r="G6" s="259"/>
      <c r="H6" s="288" t="s">
        <v>4</v>
      </c>
      <c r="I6" s="289">
        <v>0</v>
      </c>
      <c r="J6" s="339">
        <v>0</v>
      </c>
      <c r="K6" s="343">
        <f>'Założenia 2 - Dane wejściowe'!$B$20</f>
        <v>0.89</v>
      </c>
      <c r="L6" s="344">
        <f t="shared" ref="L6:L7" si="0">J6*K6</f>
        <v>0</v>
      </c>
    </row>
    <row r="7" spans="2:14">
      <c r="B7" s="312"/>
      <c r="C7" s="317"/>
      <c r="D7" s="318"/>
      <c r="E7" s="315"/>
      <c r="F7" s="316"/>
      <c r="G7" s="259"/>
      <c r="H7" s="288" t="s">
        <v>5</v>
      </c>
      <c r="I7" s="289">
        <f>'Założenia 2 - Dane wejściowe'!I23</f>
        <v>0</v>
      </c>
      <c r="J7" s="340">
        <f>I7*'Założenia 2 - Dane wejściowe'!C25</f>
        <v>0</v>
      </c>
      <c r="K7" s="343">
        <f>'Założenia 2 - Dane wejściowe'!$B$20</f>
        <v>0.89</v>
      </c>
      <c r="L7" s="344">
        <f t="shared" si="0"/>
        <v>0</v>
      </c>
      <c r="M7" s="383">
        <v>0</v>
      </c>
      <c r="N7" s="308"/>
    </row>
    <row r="8" spans="2:14">
      <c r="B8" s="312"/>
      <c r="C8" s="317"/>
      <c r="D8" s="318"/>
      <c r="E8" s="315"/>
      <c r="F8" s="316"/>
      <c r="G8" s="259"/>
      <c r="H8" s="290" t="s">
        <v>9</v>
      </c>
      <c r="I8" s="291">
        <f>'Założenia 2 - Dane wejściowe'!I22</f>
        <v>12</v>
      </c>
      <c r="J8" s="340">
        <f>I8*'Założenia 2 - Dane wejściowe'!C26</f>
        <v>24000</v>
      </c>
      <c r="K8" s="343">
        <f>'Założenia 2 - Dane wejściowe'!$B$20</f>
        <v>0.89</v>
      </c>
      <c r="L8" s="344">
        <f>J8*K8</f>
        <v>21360</v>
      </c>
      <c r="M8" s="383">
        <f>J8</f>
        <v>24000</v>
      </c>
      <c r="N8" s="308"/>
    </row>
    <row r="9" spans="2:14">
      <c r="B9" s="312"/>
      <c r="C9" s="319"/>
      <c r="D9" s="318"/>
      <c r="E9" s="315"/>
      <c r="F9" s="316"/>
      <c r="G9" s="306"/>
      <c r="H9" s="288" t="s">
        <v>6</v>
      </c>
      <c r="I9" s="292">
        <f>'Założenia 2 - Dane wejściowe'!I25+'Założenia 2 - Dane wejściowe'!I21</f>
        <v>4403.96</v>
      </c>
      <c r="J9" s="340">
        <f>I9*'Założenia 2 - Dane wejściowe'!C27</f>
        <v>20698.612000000001</v>
      </c>
      <c r="K9" s="343">
        <f>'Założenia 2 - Dane wejściowe'!$B$20</f>
        <v>0.89</v>
      </c>
      <c r="L9" s="344">
        <f>J9*K9</f>
        <v>18421.76468</v>
      </c>
      <c r="M9" s="383">
        <f>J9*H34</f>
        <v>0</v>
      </c>
      <c r="N9" s="308"/>
    </row>
    <row r="10" spans="2:14" ht="14.1" thickBot="1">
      <c r="B10" s="312"/>
      <c r="C10" s="313"/>
      <c r="D10" s="314"/>
      <c r="E10" s="315"/>
      <c r="F10" s="316"/>
      <c r="G10" s="306"/>
      <c r="H10" s="293" t="s">
        <v>10</v>
      </c>
      <c r="I10" s="294">
        <v>0</v>
      </c>
      <c r="J10" s="341">
        <v>0</v>
      </c>
      <c r="K10" s="599">
        <f>'Założenia 2 - Dane wejściowe'!$B$20</f>
        <v>0.89</v>
      </c>
      <c r="L10" s="600">
        <v>0</v>
      </c>
      <c r="M10" s="384"/>
      <c r="N10" s="308"/>
    </row>
    <row r="11" spans="2:14" ht="14.4" thickBot="1">
      <c r="B11" s="312"/>
      <c r="C11" s="320"/>
      <c r="D11" s="321"/>
      <c r="E11" s="322"/>
      <c r="F11" s="322"/>
      <c r="G11" s="259"/>
      <c r="H11" s="259"/>
      <c r="I11" s="295" t="s">
        <v>7</v>
      </c>
      <c r="J11" s="296">
        <f>SUM(J6:J10)</f>
        <v>44698.612000000001</v>
      </c>
      <c r="K11" s="546"/>
      <c r="L11" s="547">
        <f>SUM(L6:L10)</f>
        <v>39781.76468</v>
      </c>
      <c r="M11" s="385">
        <f>SUM(M7:M10)</f>
        <v>24000</v>
      </c>
      <c r="N11" s="382">
        <f>M11/J11</f>
        <v>0.53692942411724098</v>
      </c>
    </row>
    <row r="12" spans="2:14" ht="14.1">
      <c r="E12" s="259"/>
      <c r="F12" s="259"/>
      <c r="G12" s="259"/>
      <c r="H12" s="259"/>
      <c r="I12" s="259"/>
      <c r="J12" s="259"/>
      <c r="K12" s="259"/>
      <c r="L12" s="259"/>
      <c r="M12" s="386">
        <f>L11*N11</f>
        <v>21359.999999999996</v>
      </c>
      <c r="N12" s="308" t="s">
        <v>176</v>
      </c>
    </row>
    <row r="13" spans="2:14" ht="14.1" thickBot="1">
      <c r="E13" s="259"/>
      <c r="F13" s="259"/>
      <c r="G13" s="259"/>
      <c r="H13" s="259"/>
      <c r="I13" s="259"/>
      <c r="J13" s="259"/>
      <c r="K13" s="259"/>
      <c r="L13" s="259"/>
    </row>
    <row r="14" spans="2:14" ht="14.1" thickBot="1">
      <c r="B14" s="389" t="s">
        <v>8</v>
      </c>
      <c r="C14" s="853" t="s">
        <v>279</v>
      </c>
      <c r="D14" s="853"/>
      <c r="E14" s="853"/>
      <c r="F14" s="259"/>
      <c r="G14" s="259"/>
      <c r="H14" s="846" t="s">
        <v>11</v>
      </c>
      <c r="I14" s="847"/>
      <c r="J14" s="259"/>
      <c r="K14" s="259"/>
      <c r="L14" s="259"/>
    </row>
    <row r="15" spans="2:14" ht="29.25" customHeight="1">
      <c r="B15" s="7" t="s">
        <v>1</v>
      </c>
      <c r="C15" s="387" t="s">
        <v>2</v>
      </c>
      <c r="D15" s="387" t="s">
        <v>3</v>
      </c>
      <c r="E15" s="388" t="s">
        <v>302</v>
      </c>
      <c r="F15" s="283" t="s">
        <v>303</v>
      </c>
      <c r="G15" s="259"/>
      <c r="H15" s="299" t="s">
        <v>12</v>
      </c>
      <c r="I15" s="300" t="s">
        <v>16</v>
      </c>
      <c r="J15" s="301" t="s">
        <v>303</v>
      </c>
      <c r="K15" s="259"/>
      <c r="L15" s="259"/>
    </row>
    <row r="16" spans="2:14">
      <c r="B16" s="3" t="s">
        <v>4</v>
      </c>
      <c r="C16" s="151">
        <v>0</v>
      </c>
      <c r="D16" s="342">
        <f>J6*((1+'Założenia 2 - Dane wejściowe'!$H$6/100)/2)</f>
        <v>0</v>
      </c>
      <c r="E16" s="343">
        <f>'Założenia 2 - Dane wejściowe'!$B$20</f>
        <v>0.89</v>
      </c>
      <c r="F16" s="344">
        <f>D16*E16</f>
        <v>0</v>
      </c>
      <c r="G16" s="259"/>
      <c r="H16" s="288"/>
      <c r="I16" s="302"/>
      <c r="J16" s="303"/>
      <c r="K16" s="259"/>
      <c r="L16" s="259"/>
    </row>
    <row r="17" spans="2:12">
      <c r="B17" s="3" t="s">
        <v>5</v>
      </c>
      <c r="C17" s="151">
        <f>'Założenia 2 - Dane wejściowe'!J23</f>
        <v>0</v>
      </c>
      <c r="D17" s="342">
        <f>J7*((1+'Założenia 2 - Dane wejściowe'!$H$6/100)/2)</f>
        <v>0</v>
      </c>
      <c r="E17" s="343">
        <f>'Założenia 2 - Dane wejściowe'!$B$20</f>
        <v>0.89</v>
      </c>
      <c r="F17" s="344">
        <f t="shared" ref="F17:F20" si="1">D17*E17</f>
        <v>0</v>
      </c>
      <c r="G17" s="259"/>
      <c r="H17" s="288">
        <v>2015</v>
      </c>
      <c r="I17" s="302">
        <f>J11</f>
        <v>44698.612000000001</v>
      </c>
      <c r="J17" s="303">
        <f>L11</f>
        <v>39781.76468</v>
      </c>
      <c r="K17" s="259"/>
      <c r="L17" s="259"/>
    </row>
    <row r="18" spans="2:12" ht="14.1" thickBot="1">
      <c r="B18" s="3" t="s">
        <v>9</v>
      </c>
      <c r="C18" s="381">
        <f>'Założenia 2 - Dane wejściowe'!J22</f>
        <v>12.228000000000002</v>
      </c>
      <c r="D18" s="342">
        <f>J8*((1+'Założenia 2 - Dane wejściowe'!$H$6/100)/2)</f>
        <v>24456.000000000004</v>
      </c>
      <c r="E18" s="343">
        <f>'Założenia 2 - Dane wejściowe'!$B$20</f>
        <v>0.89</v>
      </c>
      <c r="F18" s="344">
        <f t="shared" si="1"/>
        <v>21765.840000000004</v>
      </c>
      <c r="G18" s="259"/>
      <c r="H18" s="293">
        <v>2020</v>
      </c>
      <c r="I18" s="304">
        <f>D21</f>
        <v>45547.885628000004</v>
      </c>
      <c r="J18" s="305">
        <f>F21</f>
        <v>40537.618208920008</v>
      </c>
      <c r="K18" s="259"/>
      <c r="L18" s="259"/>
    </row>
    <row r="19" spans="2:12">
      <c r="B19" s="3" t="s">
        <v>6</v>
      </c>
      <c r="C19" s="381">
        <f>'Założenia 2 - Dane wejściowe'!J21+'Założenia 2 - Dane wejściowe'!J25</f>
        <v>4275.3202000000001</v>
      </c>
      <c r="D19" s="342">
        <f>J9*((1+'Założenia 2 - Dane wejściowe'!$H$6/100)/2)</f>
        <v>21091.885628000004</v>
      </c>
      <c r="E19" s="343">
        <f>'Założenia 2 - Dane wejściowe'!$B$20</f>
        <v>0.89</v>
      </c>
      <c r="F19" s="344">
        <f t="shared" si="1"/>
        <v>18771.778208920005</v>
      </c>
      <c r="G19" s="259"/>
      <c r="H19" s="306"/>
      <c r="I19" s="306"/>
      <c r="J19" s="306"/>
      <c r="K19" s="259"/>
      <c r="L19" s="259"/>
    </row>
    <row r="20" spans="2:12" ht="14.1" thickBot="1">
      <c r="B20" s="4" t="s">
        <v>10</v>
      </c>
      <c r="C20" s="164">
        <v>0</v>
      </c>
      <c r="D20" s="342">
        <f>J10*((1+'Założenia 2 - Dane wejściowe'!$H$6/100)/2)</f>
        <v>0</v>
      </c>
      <c r="E20" s="343">
        <f>'Założenia 2 - Dane wejściowe'!$B$20</f>
        <v>0.89</v>
      </c>
      <c r="F20" s="344">
        <f t="shared" si="1"/>
        <v>0</v>
      </c>
      <c r="G20" s="259"/>
      <c r="H20" s="306"/>
      <c r="I20" s="306"/>
      <c r="J20" s="306"/>
      <c r="K20" s="259"/>
      <c r="L20" s="259"/>
    </row>
    <row r="21" spans="2:12" ht="14.4" thickBot="1">
      <c r="C21" s="80" t="s">
        <v>7</v>
      </c>
      <c r="D21" s="82">
        <f>SUM(D16:D20)</f>
        <v>45547.885628000004</v>
      </c>
      <c r="E21" s="297"/>
      <c r="F21" s="298">
        <f>SUM(F16:F20)</f>
        <v>40537.618208920008</v>
      </c>
      <c r="G21" s="259"/>
      <c r="H21" s="259"/>
      <c r="I21" s="259"/>
      <c r="J21" s="259"/>
      <c r="K21" s="259"/>
      <c r="L21" s="259"/>
    </row>
    <row r="22" spans="2:12">
      <c r="E22" s="259"/>
      <c r="F22" s="259"/>
      <c r="G22" s="259"/>
      <c r="H22" s="259"/>
      <c r="I22" s="465">
        <f>D21-J11</f>
        <v>849.27362800000265</v>
      </c>
      <c r="J22" s="259"/>
      <c r="K22" s="465"/>
      <c r="L22" s="259"/>
    </row>
    <row r="23" spans="2:12">
      <c r="E23" s="259"/>
      <c r="F23" s="259"/>
      <c r="G23" s="259"/>
      <c r="H23" s="259"/>
      <c r="I23" s="259"/>
      <c r="J23" s="259"/>
      <c r="K23" s="259"/>
      <c r="L23" s="259"/>
    </row>
    <row r="24" spans="2:12">
      <c r="E24" s="259"/>
      <c r="F24" s="259"/>
      <c r="G24" s="259"/>
      <c r="H24" s="259"/>
      <c r="I24" s="259"/>
      <c r="J24" s="259"/>
      <c r="K24" s="259"/>
      <c r="L24" s="259"/>
    </row>
    <row r="26" spans="2:12">
      <c r="J26" s="99"/>
    </row>
    <row r="27" spans="2:12">
      <c r="B27" s="149"/>
    </row>
    <row r="33" spans="2:11">
      <c r="E33" s="150"/>
    </row>
    <row r="34" spans="2:11">
      <c r="B34" s="149"/>
      <c r="C34" s="150"/>
      <c r="D34" s="150"/>
      <c r="E34" s="150"/>
      <c r="H34" s="168"/>
    </row>
    <row r="36" spans="2:11">
      <c r="B36" s="149"/>
    </row>
    <row r="41" spans="2:11">
      <c r="B41" s="851"/>
      <c r="C41" s="852"/>
      <c r="D41" s="852"/>
      <c r="E41" s="852"/>
      <c r="F41" s="852"/>
      <c r="G41" s="852"/>
      <c r="H41" s="852"/>
      <c r="I41" s="852"/>
      <c r="J41" s="852"/>
      <c r="K41" s="852"/>
    </row>
    <row r="42" spans="2:11">
      <c r="B42" s="852"/>
      <c r="C42" s="852"/>
      <c r="D42" s="852"/>
      <c r="E42" s="852"/>
      <c r="F42" s="852"/>
      <c r="G42" s="852"/>
      <c r="H42" s="852"/>
      <c r="I42" s="852"/>
      <c r="J42" s="852"/>
      <c r="K42" s="852"/>
    </row>
    <row r="43" spans="2:11">
      <c r="B43" s="852"/>
      <c r="C43" s="852"/>
      <c r="D43" s="852"/>
      <c r="E43" s="852"/>
      <c r="F43" s="852"/>
      <c r="G43" s="852"/>
      <c r="H43" s="852"/>
      <c r="I43" s="852"/>
      <c r="J43" s="852"/>
      <c r="K43" s="852"/>
    </row>
    <row r="44" spans="2:11">
      <c r="B44" s="852"/>
      <c r="C44" s="852"/>
      <c r="D44" s="852"/>
      <c r="E44" s="852"/>
      <c r="F44" s="852"/>
      <c r="G44" s="852"/>
      <c r="H44" s="852"/>
      <c r="I44" s="852"/>
      <c r="J44" s="852"/>
      <c r="K44" s="852"/>
    </row>
    <row r="45" spans="2:11">
      <c r="B45" s="852"/>
      <c r="C45" s="852"/>
      <c r="D45" s="852"/>
      <c r="E45" s="852"/>
      <c r="F45" s="852"/>
      <c r="G45" s="852"/>
      <c r="H45" s="852"/>
      <c r="I45" s="852"/>
      <c r="J45" s="852"/>
      <c r="K45" s="852"/>
    </row>
    <row r="46" spans="2:11">
      <c r="B46" s="852"/>
      <c r="C46" s="852"/>
      <c r="D46" s="852"/>
      <c r="E46" s="852"/>
      <c r="F46" s="852"/>
      <c r="G46" s="852"/>
      <c r="H46" s="852"/>
      <c r="I46" s="852"/>
      <c r="J46" s="852"/>
      <c r="K46" s="852"/>
    </row>
    <row r="47" spans="2:11">
      <c r="B47" s="852"/>
      <c r="C47" s="852"/>
      <c r="D47" s="852"/>
      <c r="E47" s="852"/>
      <c r="F47" s="852"/>
      <c r="G47" s="852"/>
      <c r="H47" s="852"/>
      <c r="I47" s="852"/>
      <c r="J47" s="852"/>
      <c r="K47" s="852"/>
    </row>
    <row r="48" spans="2:11">
      <c r="B48" s="852"/>
      <c r="C48" s="852"/>
      <c r="D48" s="852"/>
      <c r="E48" s="852"/>
      <c r="F48" s="852"/>
      <c r="G48" s="852"/>
      <c r="H48" s="852"/>
      <c r="I48" s="852"/>
      <c r="J48" s="852"/>
      <c r="K48" s="852"/>
    </row>
    <row r="49" spans="2:11">
      <c r="B49" s="852"/>
      <c r="C49" s="852"/>
      <c r="D49" s="852"/>
      <c r="E49" s="852"/>
      <c r="F49" s="852"/>
      <c r="G49" s="852"/>
      <c r="H49" s="852"/>
      <c r="I49" s="852"/>
      <c r="J49" s="852"/>
      <c r="K49" s="852"/>
    </row>
    <row r="50" spans="2:11">
      <c r="B50" s="852"/>
      <c r="C50" s="852"/>
      <c r="D50" s="852"/>
      <c r="E50" s="852"/>
      <c r="F50" s="852"/>
      <c r="G50" s="852"/>
      <c r="H50" s="852"/>
      <c r="I50" s="852"/>
      <c r="J50" s="852"/>
      <c r="K50" s="852"/>
    </row>
  </sheetData>
  <mergeCells count="4">
    <mergeCell ref="H14:I14"/>
    <mergeCell ref="B2:L2"/>
    <mergeCell ref="B41:K50"/>
    <mergeCell ref="C14:E14"/>
  </mergeCells>
  <pageMargins left="0.7" right="0.7" top="0.75" bottom="0.75" header="0.3" footer="0.3"/>
  <pageSetup paperSize="9" scale="56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B1:K22"/>
  <sheetViews>
    <sheetView view="pageBreakPreview" zoomScaleNormal="100" zoomScaleSheetLayoutView="100" workbookViewId="0">
      <selection activeCell="G25" sqref="G25"/>
    </sheetView>
  </sheetViews>
  <sheetFormatPr defaultRowHeight="13.8"/>
  <cols>
    <col min="1" max="1" width="4.6171875" customWidth="1"/>
    <col min="2" max="2" width="28.7109375" customWidth="1"/>
    <col min="3" max="3" width="15.37890625" customWidth="1"/>
    <col min="4" max="4" width="17.1875" customWidth="1"/>
    <col min="5" max="5" width="16.1875" customWidth="1"/>
    <col min="6" max="6" width="12.09375" customWidth="1"/>
    <col min="11" max="11" width="15.6171875" customWidth="1"/>
  </cols>
  <sheetData>
    <row r="1" spans="2:11" ht="14.1" thickBot="1"/>
    <row r="2" spans="2:11" ht="15" customHeight="1" thickBot="1">
      <c r="B2" s="854" t="s">
        <v>13</v>
      </c>
      <c r="C2" s="855"/>
      <c r="D2" s="855"/>
      <c r="E2" s="855"/>
      <c r="F2" s="856"/>
    </row>
    <row r="3" spans="2:11" ht="14.25" customHeight="1"/>
    <row r="4" spans="2:11" ht="19.5" customHeight="1" thickBot="1">
      <c r="F4" s="259"/>
    </row>
    <row r="5" spans="2:11" ht="14.1" thickBot="1">
      <c r="B5" s="857" t="s">
        <v>158</v>
      </c>
      <c r="C5" s="858"/>
      <c r="D5" s="8"/>
      <c r="E5" s="8"/>
      <c r="F5" s="285"/>
    </row>
    <row r="6" spans="2:11" ht="29.4">
      <c r="B6" s="9"/>
      <c r="C6" s="10" t="s">
        <v>14</v>
      </c>
      <c r="D6" s="10" t="s">
        <v>15</v>
      </c>
      <c r="E6" s="10" t="s">
        <v>18</v>
      </c>
      <c r="F6" s="283" t="s">
        <v>301</v>
      </c>
    </row>
    <row r="7" spans="2:11">
      <c r="B7" s="12" t="s">
        <v>19</v>
      </c>
      <c r="C7" s="391">
        <f>'Założenia 2 - Dane wejściowe'!I24*'Założenia 2 - Dane wejściowe'!D42</f>
        <v>3343194.4999999995</v>
      </c>
      <c r="D7" s="391">
        <f>C7*'Założenia 2 - Dane wejściowe'!$F$36</f>
        <v>118683.40474999997</v>
      </c>
      <c r="E7" s="398">
        <f>'Założenia 2 - Dane wejściowe'!$B$35</f>
        <v>5.5E-2</v>
      </c>
      <c r="F7" s="393">
        <f>D7*E7</f>
        <v>6527.5872612499988</v>
      </c>
    </row>
    <row r="8" spans="2:11" ht="41.4">
      <c r="B8" s="12" t="s">
        <v>20</v>
      </c>
      <c r="C8" s="392">
        <f>('Założenia 2 - Dane wejściowe'!I22+'Założenia 2 - Dane wejściowe'!I23)*'Założenia 2 - Dane wejściowe'!D43</f>
        <v>17400</v>
      </c>
      <c r="D8" s="391">
        <f>C8*'Założenia 2 - Dane wejściowe'!$F$36</f>
        <v>617.69999999999993</v>
      </c>
      <c r="E8" s="398">
        <f>'Założenia 2 - Dane wejściowe'!$B$35</f>
        <v>5.5E-2</v>
      </c>
      <c r="F8" s="393">
        <f t="shared" ref="F8:F10" si="0">D8*E8</f>
        <v>33.973499999999994</v>
      </c>
      <c r="I8" s="152"/>
      <c r="J8" s="153" t="str">
        <f>F6</f>
        <v>Emisja CO2 [Mg CO2]</v>
      </c>
      <c r="K8" s="153" t="str">
        <f>C6</f>
        <v>zużycie gazu [m3]</v>
      </c>
    </row>
    <row r="9" spans="2:11">
      <c r="B9" s="12" t="s">
        <v>21</v>
      </c>
      <c r="C9" s="392">
        <f>'Założenia 2 - Dane wejściowe'!I21/2*'Założenia 2 - Dane wejściowe'!D43</f>
        <v>51475</v>
      </c>
      <c r="D9" s="391">
        <f>C9*'Założenia 2 - Dane wejściowe'!$F$36</f>
        <v>1827.3624999999997</v>
      </c>
      <c r="E9" s="398">
        <f>'Założenia 2 - Dane wejściowe'!$B$35</f>
        <v>5.5E-2</v>
      </c>
      <c r="F9" s="393">
        <f t="shared" si="0"/>
        <v>100.50493749999998</v>
      </c>
      <c r="I9" s="2"/>
      <c r="J9" s="83"/>
      <c r="K9" s="113"/>
    </row>
    <row r="10" spans="2:11">
      <c r="B10" s="13" t="s">
        <v>22</v>
      </c>
      <c r="C10" s="394">
        <f>'Założenia 2 - Dane wejściowe'!I21/2*'Założenia 2 - Dane wejściowe'!D43</f>
        <v>51475</v>
      </c>
      <c r="D10" s="391">
        <f>C10*'Założenia 2 - Dane wejściowe'!$F$36</f>
        <v>1827.3624999999997</v>
      </c>
      <c r="E10" s="398">
        <f>'Założenia 2 - Dane wejściowe'!$B$35</f>
        <v>5.5E-2</v>
      </c>
      <c r="F10" s="393">
        <f t="shared" si="0"/>
        <v>100.50493749999998</v>
      </c>
      <c r="I10" s="2">
        <v>2015</v>
      </c>
      <c r="J10" s="83">
        <f>F12</f>
        <v>6762.5706362499986</v>
      </c>
      <c r="K10" s="113">
        <f>C12</f>
        <v>3463544.4999999995</v>
      </c>
    </row>
    <row r="11" spans="2:11">
      <c r="B11" s="14" t="s">
        <v>23</v>
      </c>
      <c r="C11" s="392">
        <v>0</v>
      </c>
      <c r="D11" s="392">
        <v>0</v>
      </c>
      <c r="E11" s="398">
        <f>'Założenia 2 - Dane wejściowe'!$B$35</f>
        <v>5.5E-2</v>
      </c>
      <c r="F11" s="393">
        <v>0</v>
      </c>
      <c r="I11" s="2">
        <v>2020</v>
      </c>
      <c r="J11" s="83">
        <f>F22</f>
        <v>6696.060648885712</v>
      </c>
      <c r="K11" s="113">
        <f>C22</f>
        <v>3429480.4859849997</v>
      </c>
    </row>
    <row r="12" spans="2:11" ht="14.1" thickBot="1">
      <c r="B12" s="15" t="s">
        <v>7</v>
      </c>
      <c r="C12" s="86">
        <f>SUM(C7:C11)</f>
        <v>3463544.4999999995</v>
      </c>
      <c r="D12" s="86">
        <f>SUM(D7:D11)</f>
        <v>122955.82974999998</v>
      </c>
      <c r="E12" s="85"/>
      <c r="F12" s="404">
        <f>SUM(F7:F11)</f>
        <v>6762.5706362499986</v>
      </c>
    </row>
    <row r="13" spans="2:11">
      <c r="F13" s="259"/>
    </row>
    <row r="14" spans="2:11" ht="14.4" customHeight="1" thickBot="1">
      <c r="F14" s="259"/>
    </row>
    <row r="15" spans="2:11" ht="37.5" thickBot="1">
      <c r="B15" s="857" t="s">
        <v>24</v>
      </c>
      <c r="C15" s="858"/>
      <c r="D15" s="233" t="s">
        <v>279</v>
      </c>
      <c r="E15" s="8"/>
      <c r="F15" s="285"/>
    </row>
    <row r="16" spans="2:11" ht="29.4">
      <c r="B16" s="9"/>
      <c r="C16" s="10" t="s">
        <v>14</v>
      </c>
      <c r="D16" s="10" t="s">
        <v>15</v>
      </c>
      <c r="E16" s="10" t="s">
        <v>18</v>
      </c>
      <c r="F16" s="283" t="s">
        <v>301</v>
      </c>
    </row>
    <row r="17" spans="2:6">
      <c r="B17" s="12" t="s">
        <v>19</v>
      </c>
      <c r="C17" s="395">
        <f>'Założenia 2 - Dane wejściowe'!J24*'Założenia 2 - Dane wejściowe'!E42</f>
        <v>3304513.739635</v>
      </c>
      <c r="D17" s="395">
        <f>C17*'Założenia 2 - Dane wejściowe'!$F$36</f>
        <v>117310.23775704249</v>
      </c>
      <c r="E17" s="399">
        <f>'Założenia 2 - Dane wejściowe'!$B$35</f>
        <v>5.5E-2</v>
      </c>
      <c r="F17" s="397">
        <f>D17*E17</f>
        <v>6452.063076637337</v>
      </c>
    </row>
    <row r="18" spans="2:6">
      <c r="B18" s="12" t="s">
        <v>20</v>
      </c>
      <c r="C18" s="396">
        <f>('Założenia 2 - Dane wejściowe'!J22+'Założenia 2 - Dane wejściowe'!J23)*'Założenia 2 - Dane wejściowe'!E43</f>
        <v>18067.481400000004</v>
      </c>
      <c r="D18" s="395">
        <f>C18*'Założenia 2 - Dane wejściowe'!$F$36</f>
        <v>641.39558970000007</v>
      </c>
      <c r="E18" s="399">
        <f>'Założenia 2 - Dane wejściowe'!$B$35</f>
        <v>5.5E-2</v>
      </c>
      <c r="F18" s="397">
        <f>D18*E18</f>
        <v>35.276757433500002</v>
      </c>
    </row>
    <row r="19" spans="2:6">
      <c r="B19" s="12" t="s">
        <v>21</v>
      </c>
      <c r="C19" s="396">
        <f>('Założenia 2 - Dane wejściowe'!J21/2)*'Założenia 2 - Dane wejściowe'!E43</f>
        <v>53449.632475000006</v>
      </c>
      <c r="D19" s="395">
        <f>C19*'Założenia 2 - Dane wejściowe'!$F$36</f>
        <v>1897.4619528625001</v>
      </c>
      <c r="E19" s="399">
        <f>'Założenia 2 - Dane wejściowe'!$B$35</f>
        <v>5.5E-2</v>
      </c>
      <c r="F19" s="397">
        <f t="shared" ref="F19:F20" si="1">D19*E19</f>
        <v>104.36040740743751</v>
      </c>
    </row>
    <row r="20" spans="2:6">
      <c r="B20" s="13" t="s">
        <v>22</v>
      </c>
      <c r="C20" s="396">
        <f>('Założenia 2 - Dane wejściowe'!J21/2)*'Założenia 2 - Dane wejściowe'!E43</f>
        <v>53449.632475000006</v>
      </c>
      <c r="D20" s="395">
        <f>C20*'Założenia 2 - Dane wejściowe'!$F$36</f>
        <v>1897.4619528625001</v>
      </c>
      <c r="E20" s="399">
        <f>'Założenia 2 - Dane wejściowe'!$B$35</f>
        <v>5.5E-2</v>
      </c>
      <c r="F20" s="397">
        <f t="shared" si="1"/>
        <v>104.36040740743751</v>
      </c>
    </row>
    <row r="21" spans="2:6">
      <c r="B21" s="14" t="s">
        <v>23</v>
      </c>
      <c r="C21" s="396">
        <v>0</v>
      </c>
      <c r="D21" s="395">
        <f>C21*'Założenia 2 - Dane wejściowe'!$F$36</f>
        <v>0</v>
      </c>
      <c r="E21" s="399">
        <f>'Założenia 2 - Dane wejściowe'!$B$35</f>
        <v>5.5E-2</v>
      </c>
      <c r="F21" s="397">
        <v>0</v>
      </c>
    </row>
    <row r="22" spans="2:6" ht="14.1" thickBot="1">
      <c r="B22" s="15" t="s">
        <v>7</v>
      </c>
      <c r="C22" s="86">
        <f>SUM(C17:C21)</f>
        <v>3429480.4859849997</v>
      </c>
      <c r="D22" s="86">
        <f>SUM(D17:D21)</f>
        <v>121746.55725246749</v>
      </c>
      <c r="E22" s="85"/>
      <c r="F22" s="284">
        <f>SUM(F17:F21)</f>
        <v>6696.060648885712</v>
      </c>
    </row>
  </sheetData>
  <mergeCells count="3">
    <mergeCell ref="B2:F2"/>
    <mergeCell ref="B5:C5"/>
    <mergeCell ref="B15:C15"/>
  </mergeCells>
  <pageMargins left="0.7" right="0.7" top="0.75" bottom="0.75" header="0.3" footer="0.3"/>
  <pageSetup paperSize="9" scale="57" orientation="portrait" horizontalDpi="4294967295" verticalDpi="429496729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B1:P42"/>
  <sheetViews>
    <sheetView view="pageBreakPreview" zoomScale="50" zoomScaleNormal="50" zoomScaleSheetLayoutView="50" workbookViewId="0">
      <selection activeCell="L21" sqref="L21"/>
    </sheetView>
  </sheetViews>
  <sheetFormatPr defaultRowHeight="13.8"/>
  <cols>
    <col min="1" max="1" width="4.37890625" customWidth="1"/>
    <col min="2" max="2" width="13.6171875" customWidth="1"/>
    <col min="3" max="3" width="12.7109375" customWidth="1"/>
    <col min="4" max="5" width="10.7109375" bestFit="1" customWidth="1"/>
    <col min="8" max="8" width="12.09375" customWidth="1"/>
    <col min="9" max="9" width="15" customWidth="1"/>
    <col min="10" max="10" width="13.7109375" customWidth="1"/>
    <col min="11" max="11" width="14.1875" customWidth="1"/>
    <col min="12" max="12" width="13.37890625" customWidth="1"/>
    <col min="13" max="13" width="12.7109375" customWidth="1"/>
    <col min="14" max="16" width="12.37890625" bestFit="1" customWidth="1"/>
    <col min="17" max="17" width="13.47265625" bestFit="1" customWidth="1"/>
  </cols>
  <sheetData>
    <row r="1" spans="2:16" ht="14.1" thickBot="1"/>
    <row r="2" spans="2:16" ht="15.3" thickBot="1">
      <c r="B2" s="848" t="s">
        <v>67</v>
      </c>
      <c r="C2" s="859"/>
      <c r="D2" s="859"/>
      <c r="E2" s="859"/>
      <c r="F2" s="859"/>
      <c r="G2" s="859"/>
      <c r="H2" s="859"/>
      <c r="I2" s="859"/>
      <c r="J2" s="859"/>
      <c r="K2" s="859"/>
      <c r="L2" s="859"/>
      <c r="M2" s="859"/>
      <c r="N2" s="859"/>
      <c r="O2" s="859"/>
      <c r="P2" s="860"/>
    </row>
    <row r="4" spans="2:16" ht="14.1" thickBot="1"/>
    <row r="5" spans="2:16" ht="84" customHeight="1" thickBot="1">
      <c r="B5" s="1"/>
      <c r="C5" s="40" t="str">
        <f>'Założenia 2 - Dane wejściowe'!B71</f>
        <v>DK nr 12</v>
      </c>
      <c r="D5" s="34" t="s">
        <v>547</v>
      </c>
      <c r="E5" s="35" t="s">
        <v>68</v>
      </c>
      <c r="F5" s="34" t="s">
        <v>69</v>
      </c>
      <c r="G5" s="34" t="s">
        <v>70</v>
      </c>
      <c r="H5" s="36" t="s">
        <v>138</v>
      </c>
      <c r="I5" s="36" t="s">
        <v>280</v>
      </c>
      <c r="K5" s="37" t="s">
        <v>71</v>
      </c>
      <c r="L5" s="39" t="s">
        <v>138</v>
      </c>
      <c r="M5" s="39" t="s">
        <v>75</v>
      </c>
    </row>
    <row r="6" spans="2:16" ht="14.4">
      <c r="B6" s="861" t="s">
        <v>58</v>
      </c>
      <c r="C6" s="862"/>
      <c r="D6" s="33">
        <f>'Założenia 2 - Dane wejściowe'!H61</f>
        <v>4906</v>
      </c>
      <c r="E6" s="100">
        <f>(D6*'Założenia 2 - Dane wejściowe'!$G$51)</f>
        <v>5823.0446551954319</v>
      </c>
      <c r="F6" s="33">
        <f>'Założenia 2 - Dane wejściowe'!D61</f>
        <v>155</v>
      </c>
      <c r="G6" s="87">
        <f>'Założenia 2 - Dane wejściowe'!$C$71</f>
        <v>23.55</v>
      </c>
      <c r="H6" s="88">
        <f>D6*F6*G6/1000000*365</f>
        <v>6536.4661725000005</v>
      </c>
      <c r="I6" s="89">
        <f t="shared" ref="I6:I11" si="0">E6*F6*G6/1000000*365</f>
        <v>7758.2825947089013</v>
      </c>
      <c r="K6" s="166" t="str">
        <f>B34</f>
        <v>DK nr 12</v>
      </c>
      <c r="L6" s="112">
        <f>H12</f>
        <v>14685.022278750001</v>
      </c>
      <c r="M6" s="112">
        <f>I12</f>
        <v>17561.11282640629</v>
      </c>
    </row>
    <row r="7" spans="2:16" ht="14.4">
      <c r="B7" s="863" t="s">
        <v>57</v>
      </c>
      <c r="C7" s="864"/>
      <c r="D7" s="33">
        <f>'Założenia 2 - Dane wejściowe'!H62</f>
        <v>55</v>
      </c>
      <c r="E7" s="101">
        <f>D7*'Założenia 2 - Dane wejściowe'!$G$51</f>
        <v>65.280769677078837</v>
      </c>
      <c r="F7" s="33">
        <f>'Założenia 2 - Dane wejściowe'!D62</f>
        <v>155</v>
      </c>
      <c r="G7" s="87">
        <f>'Założenia 2 - Dane wejściowe'!$C$71</f>
        <v>23.55</v>
      </c>
      <c r="H7" s="88">
        <f t="shared" ref="H7:H11" si="1">D7*F7*G7/1000000*365</f>
        <v>73.278768749999998</v>
      </c>
      <c r="I7" s="89">
        <f t="shared" si="0"/>
        <v>86.976262272521325</v>
      </c>
      <c r="K7" s="166" t="str">
        <f>B35</f>
        <v>DW nr 297</v>
      </c>
      <c r="L7" s="112">
        <f>H21</f>
        <v>7226.7992499999991</v>
      </c>
      <c r="M7" s="112">
        <f>I21</f>
        <v>8614.7642816553544</v>
      </c>
    </row>
    <row r="8" spans="2:16" ht="27" customHeight="1">
      <c r="B8" s="865" t="s">
        <v>76</v>
      </c>
      <c r="C8" s="866"/>
      <c r="D8" s="33">
        <f>'Założenia 2 - Dane wejściowe'!H63</f>
        <v>756</v>
      </c>
      <c r="E8" s="101">
        <f>D8*'Założenia 2 - Dane wejściowe'!$G$53</f>
        <v>813.06469171411629</v>
      </c>
      <c r="F8" s="33">
        <f>'Założenia 2 - Dane wejściowe'!D63</f>
        <v>200</v>
      </c>
      <c r="G8" s="87">
        <f>'Założenia 2 - Dane wejściowe'!$C$71</f>
        <v>23.55</v>
      </c>
      <c r="H8" s="88">
        <f t="shared" si="1"/>
        <v>1299.6774</v>
      </c>
      <c r="I8" s="89">
        <f t="shared" si="0"/>
        <v>1397.7801647603233</v>
      </c>
      <c r="K8" s="172"/>
      <c r="L8" s="173"/>
      <c r="M8" s="173"/>
    </row>
    <row r="9" spans="2:16" ht="15" customHeight="1">
      <c r="B9" s="865" t="s">
        <v>72</v>
      </c>
      <c r="C9" s="866"/>
      <c r="D9" s="33">
        <f>'Założenia 2 - Dane wejściowe'!H64</f>
        <v>1265</v>
      </c>
      <c r="E9" s="101">
        <f>D9*'Założenia 2 - Dane wejściowe'!$G$54</f>
        <v>1560.9188167291909</v>
      </c>
      <c r="F9" s="33">
        <f>'Założenia 2 - Dane wejściowe'!D64</f>
        <v>600</v>
      </c>
      <c r="G9" s="87">
        <f>'Założenia 2 - Dane wejściowe'!$C$71</f>
        <v>23.55</v>
      </c>
      <c r="H9" s="88">
        <f t="shared" si="1"/>
        <v>6524.17425</v>
      </c>
      <c r="I9" s="89">
        <f t="shared" si="0"/>
        <v>8050.3607513399656</v>
      </c>
      <c r="K9" s="2" t="s">
        <v>7</v>
      </c>
      <c r="L9" s="113">
        <f>SUM(L6:L8)</f>
        <v>21911.821528749999</v>
      </c>
      <c r="M9" s="113">
        <f>SUM(M6:M8)</f>
        <v>26175.877108061643</v>
      </c>
    </row>
    <row r="10" spans="2:16" ht="14.1">
      <c r="B10" s="867" t="s">
        <v>60</v>
      </c>
      <c r="C10" s="868"/>
      <c r="D10" s="33">
        <f>'Założenia 2 - Dane wejściowe'!H65</f>
        <v>47</v>
      </c>
      <c r="E10" s="101">
        <f>D10*'Założenia 2 - Dane wejściowe'!$G$55</f>
        <v>47</v>
      </c>
      <c r="F10" s="33">
        <f>'Założenia 2 - Dane wejściowe'!D65</f>
        <v>450</v>
      </c>
      <c r="G10" s="87">
        <f>'Założenia 2 - Dane wejściowe'!$C$71</f>
        <v>23.55</v>
      </c>
      <c r="H10" s="88">
        <f t="shared" si="1"/>
        <v>181.80011249999998</v>
      </c>
      <c r="I10" s="89">
        <f t="shared" si="0"/>
        <v>181.80011249999998</v>
      </c>
    </row>
    <row r="11" spans="2:16" ht="14.4" thickBot="1">
      <c r="B11" s="869" t="s">
        <v>62</v>
      </c>
      <c r="C11" s="870"/>
      <c r="D11" s="33">
        <f>'Założenia 2 - Dane wejściowe'!H66</f>
        <v>18</v>
      </c>
      <c r="E11" s="102">
        <f>D11*'Założenia 2 - Dane wejściowe'!$G$54</f>
        <v>22.210702530533943</v>
      </c>
      <c r="F11" s="33">
        <f>'Założenia 2 - Dane wejściowe'!D66</f>
        <v>450</v>
      </c>
      <c r="G11" s="87">
        <f>'Założenia 2 - Dane wejściowe'!$C$71</f>
        <v>23.55</v>
      </c>
      <c r="H11" s="88">
        <f t="shared" si="1"/>
        <v>69.625574999999998</v>
      </c>
      <c r="I11" s="89">
        <f t="shared" si="0"/>
        <v>85.912940824576708</v>
      </c>
    </row>
    <row r="12" spans="2:16" ht="14.7" thickBot="1">
      <c r="G12" s="48" t="s">
        <v>7</v>
      </c>
      <c r="H12" s="109">
        <f t="shared" ref="H12:I12" si="2">SUM(H6:H11)</f>
        <v>14685.022278750001</v>
      </c>
      <c r="I12" s="109">
        <f t="shared" si="2"/>
        <v>17561.11282640629</v>
      </c>
    </row>
    <row r="13" spans="2:16" ht="39" thickBot="1">
      <c r="K13" s="45"/>
      <c r="L13" s="39" t="str">
        <f>L5</f>
        <v>Emisja CO2 [Mg CO2] w 2015 roku</v>
      </c>
      <c r="M13" s="39" t="str">
        <f>M5</f>
        <v>Emisja CO2 [Mg CO2] w 2020 roku - prognoza</v>
      </c>
    </row>
    <row r="14" spans="2:16" ht="64.8" thickBot="1">
      <c r="B14" s="1"/>
      <c r="C14" s="40" t="str">
        <f>'Założenia 2 - Dane wejściowe'!B72</f>
        <v>DW nr 297</v>
      </c>
      <c r="D14" s="34" t="str">
        <f>D5</f>
        <v>2015 (dane na podstawie roku 2015)</v>
      </c>
      <c r="E14" s="35" t="s">
        <v>68</v>
      </c>
      <c r="F14" s="34" t="s">
        <v>69</v>
      </c>
      <c r="G14" s="34" t="s">
        <v>70</v>
      </c>
      <c r="H14" s="36" t="s">
        <v>138</v>
      </c>
      <c r="I14" s="36" t="str">
        <f>I5</f>
        <v>Emisja CO2 [Mg CO2] w 2020 roku - prognoza bez inwestycji oszczędnościowych</v>
      </c>
      <c r="K14" s="46" t="s">
        <v>73</v>
      </c>
      <c r="L14" s="113">
        <f>L9</f>
        <v>21911.821528749999</v>
      </c>
      <c r="M14" s="113">
        <f>M9</f>
        <v>26175.877108061643</v>
      </c>
    </row>
    <row r="15" spans="2:16" ht="14.1">
      <c r="B15" s="861" t="s">
        <v>58</v>
      </c>
      <c r="C15" s="862"/>
      <c r="D15" s="33">
        <f>'Założenia 2 - Dane wejściowe'!I61</f>
        <v>3383</v>
      </c>
      <c r="E15" s="100">
        <f>(D15*'Założenia 2 - Dane wejściowe'!$G$51)</f>
        <v>4015.3607966828672</v>
      </c>
      <c r="F15" s="33">
        <f>'Założenia 2 - Dane wejściowe'!D61</f>
        <v>155</v>
      </c>
      <c r="G15" s="87">
        <f>'Założenia 2 - Dane wejściowe'!$C$72</f>
        <v>22</v>
      </c>
      <c r="H15" s="88">
        <f t="shared" ref="H15:H20" si="3">D15*F15*G15/1000000*365</f>
        <v>4210.6509500000002</v>
      </c>
      <c r="I15" s="89">
        <f t="shared" ref="I15:I20" si="4">E15*F15*G15/1000000*365</f>
        <v>4997.7188155913309</v>
      </c>
      <c r="K15" s="46" t="s">
        <v>74</v>
      </c>
      <c r="L15" s="113">
        <f>'Ruch lokalny'!M26</f>
        <v>34706.210444570068</v>
      </c>
      <c r="M15" s="114">
        <f>'Ruch lokalny'!M51</f>
        <v>40726.815172232804</v>
      </c>
    </row>
    <row r="16" spans="2:16" ht="14.4" thickBot="1">
      <c r="B16" s="863" t="s">
        <v>57</v>
      </c>
      <c r="C16" s="864"/>
      <c r="D16" s="33">
        <f>'Założenia 2 - Dane wejściowe'!I62</f>
        <v>42</v>
      </c>
      <c r="E16" s="101">
        <f>D16*'Założenia 2 - Dane wejściowe'!$G$51</f>
        <v>49.85076957158747</v>
      </c>
      <c r="F16" s="33">
        <f>'Założenia 2 - Dane wejściowe'!D62</f>
        <v>155</v>
      </c>
      <c r="G16" s="87">
        <f>'Założenia 2 - Dane wejściowe'!$C$72</f>
        <v>22</v>
      </c>
      <c r="H16" s="88">
        <f t="shared" si="3"/>
        <v>52.275299999999994</v>
      </c>
      <c r="I16" s="89">
        <f t="shared" si="4"/>
        <v>62.046760347276347</v>
      </c>
      <c r="K16" s="47" t="s">
        <v>7</v>
      </c>
      <c r="L16" s="128">
        <f t="shared" ref="L16:M16" si="5">SUM(L14:L15)</f>
        <v>56618.031973320067</v>
      </c>
      <c r="M16" s="128">
        <f t="shared" si="5"/>
        <v>66902.692280294446</v>
      </c>
    </row>
    <row r="17" spans="2:15" ht="14.4" customHeight="1">
      <c r="B17" s="865" t="s">
        <v>76</v>
      </c>
      <c r="C17" s="866"/>
      <c r="D17" s="33">
        <f>'Założenia 2 - Dane wejściowe'!I63</f>
        <v>302</v>
      </c>
      <c r="E17" s="101">
        <f>D17*'Założenia 2 - Dane wejściowe'!$G$53</f>
        <v>324.79568372706763</v>
      </c>
      <c r="F17" s="33">
        <f>'Założenia 2 - Dane wejściowe'!D63</f>
        <v>200</v>
      </c>
      <c r="G17" s="87">
        <f>'Założenia 2 - Dane wejściowe'!$C$72</f>
        <v>22</v>
      </c>
      <c r="H17" s="88">
        <f t="shared" si="3"/>
        <v>485.012</v>
      </c>
      <c r="I17" s="89">
        <f t="shared" si="4"/>
        <v>521.62186806567058</v>
      </c>
    </row>
    <row r="18" spans="2:15" ht="15" customHeight="1">
      <c r="B18" s="865" t="s">
        <v>72</v>
      </c>
      <c r="C18" s="866"/>
      <c r="D18" s="33">
        <f>'Założenia 2 - Dane wejściowe'!I64</f>
        <v>489</v>
      </c>
      <c r="E18" s="101">
        <f>D18*'Założenia 2 - Dane wejściowe'!$G$54</f>
        <v>603.39075207950543</v>
      </c>
      <c r="F18" s="33">
        <f>'Założenia 2 - Dane wejściowe'!D64</f>
        <v>600</v>
      </c>
      <c r="G18" s="87">
        <f>'Założenia 2 - Dane wejściowe'!$C$72</f>
        <v>22</v>
      </c>
      <c r="H18" s="88">
        <f t="shared" si="3"/>
        <v>2356.002</v>
      </c>
      <c r="I18" s="89">
        <f t="shared" si="4"/>
        <v>2907.1366435190575</v>
      </c>
    </row>
    <row r="19" spans="2:15" ht="30.75" customHeight="1">
      <c r="B19" s="867" t="s">
        <v>60</v>
      </c>
      <c r="C19" s="868"/>
      <c r="D19" s="33">
        <f>'Założenia 2 - Dane wejściowe'!I65</f>
        <v>30</v>
      </c>
      <c r="E19" s="101">
        <f>D19*'Założenia 2 - Dane wejściowe'!$G$55</f>
        <v>30</v>
      </c>
      <c r="F19" s="33">
        <f>'Założenia 2 - Dane wejściowe'!D65</f>
        <v>450</v>
      </c>
      <c r="G19" s="87">
        <f>'Założenia 2 - Dane wejściowe'!$C$72</f>
        <v>22</v>
      </c>
      <c r="H19" s="88">
        <f t="shared" si="3"/>
        <v>108.405</v>
      </c>
      <c r="I19" s="89">
        <f t="shared" si="4"/>
        <v>108.405</v>
      </c>
    </row>
    <row r="20" spans="2:15" ht="14.4" thickBot="1">
      <c r="B20" s="869" t="s">
        <v>62</v>
      </c>
      <c r="C20" s="870"/>
      <c r="D20" s="33">
        <f>'Założenia 2 - Dane wejściowe'!I66</f>
        <v>4</v>
      </c>
      <c r="E20" s="102">
        <f>D20*'Założenia 2 - Dane wejściowe'!$G$54</f>
        <v>4.935711673451987</v>
      </c>
      <c r="F20" s="33">
        <f>'Założenia 2 - Dane wejściowe'!D66</f>
        <v>450</v>
      </c>
      <c r="G20" s="87">
        <f>'Założenia 2 - Dane wejściowe'!$C$72</f>
        <v>22</v>
      </c>
      <c r="H20" s="88">
        <f t="shared" si="3"/>
        <v>14.454000000000001</v>
      </c>
      <c r="I20" s="89">
        <f t="shared" si="4"/>
        <v>17.835194132018753</v>
      </c>
    </row>
    <row r="21" spans="2:15" ht="14.4">
      <c r="G21" s="406" t="s">
        <v>7</v>
      </c>
      <c r="H21" s="407">
        <f t="shared" ref="H21:I21" si="6">SUM(H15:H20)</f>
        <v>7226.7992499999991</v>
      </c>
      <c r="I21" s="407">
        <f t="shared" si="6"/>
        <v>8614.7642816553544</v>
      </c>
    </row>
    <row r="22" spans="2:15" ht="14.7" hidden="1" thickBot="1">
      <c r="F22" s="410"/>
      <c r="G22" s="411"/>
      <c r="H22" s="412"/>
      <c r="I22" s="413"/>
    </row>
    <row r="23" spans="2:15" ht="64.8" hidden="1" thickBot="1">
      <c r="B23" s="1"/>
      <c r="C23" s="40">
        <f>'Założenia 2 - Dane wejściowe'!B73</f>
        <v>0</v>
      </c>
      <c r="D23" s="34" t="str">
        <f>D14</f>
        <v>2015 (dane na podstawie roku 2015)</v>
      </c>
      <c r="E23" s="35" t="s">
        <v>68</v>
      </c>
      <c r="F23" s="408" t="s">
        <v>69</v>
      </c>
      <c r="G23" s="408" t="s">
        <v>70</v>
      </c>
      <c r="H23" s="409" t="s">
        <v>138</v>
      </c>
      <c r="I23" s="409" t="str">
        <f>I14</f>
        <v>Emisja CO2 [Mg CO2] w 2020 roku - prognoza bez inwestycji oszczędnościowych</v>
      </c>
    </row>
    <row r="24" spans="2:15" ht="14.1" hidden="1">
      <c r="B24" s="861" t="s">
        <v>58</v>
      </c>
      <c r="C24" s="862"/>
      <c r="D24" s="33">
        <f>'Założenia 2 - Dane wejściowe'!J61</f>
        <v>0</v>
      </c>
      <c r="E24" s="100">
        <f>(D24*'Założenia 2 - Dane wejściowe'!$G$51)</f>
        <v>0</v>
      </c>
      <c r="F24" s="33">
        <f>'Założenia 2 - Dane wejściowe'!D61</f>
        <v>155</v>
      </c>
      <c r="G24" s="87">
        <f>'Założenia 2 - Dane wejściowe'!C73</f>
        <v>0</v>
      </c>
      <c r="H24" s="88">
        <f t="shared" ref="H24:H29" si="7">D24*F24*G24/1000000*365</f>
        <v>0</v>
      </c>
      <c r="I24" s="89">
        <f t="shared" ref="I24:I29" si="8">E24*F24*G24/1000000*365</f>
        <v>0</v>
      </c>
    </row>
    <row r="25" spans="2:15" ht="14.1" hidden="1">
      <c r="B25" s="863" t="s">
        <v>57</v>
      </c>
      <c r="C25" s="864"/>
      <c r="D25" s="33">
        <f>'Założenia 2 - Dane wejściowe'!J62</f>
        <v>0</v>
      </c>
      <c r="E25" s="101">
        <f>D25*'Założenia 2 - Dane wejściowe'!$G$51</f>
        <v>0</v>
      </c>
      <c r="F25" s="33">
        <f>'Założenia 2 - Dane wejściowe'!D62</f>
        <v>155</v>
      </c>
      <c r="G25" s="87">
        <f>G24</f>
        <v>0</v>
      </c>
      <c r="H25" s="88">
        <f t="shared" si="7"/>
        <v>0</v>
      </c>
      <c r="I25" s="89">
        <f t="shared" si="8"/>
        <v>0</v>
      </c>
    </row>
    <row r="26" spans="2:15" ht="14.1" hidden="1">
      <c r="B26" s="865" t="s">
        <v>76</v>
      </c>
      <c r="C26" s="866"/>
      <c r="D26" s="33">
        <f>'Założenia 2 - Dane wejściowe'!J63</f>
        <v>0</v>
      </c>
      <c r="E26" s="101">
        <f>D26*'Założenia 2 - Dane wejściowe'!$G$53</f>
        <v>0</v>
      </c>
      <c r="F26" s="33">
        <f>'Założenia 2 - Dane wejściowe'!D63</f>
        <v>200</v>
      </c>
      <c r="G26" s="87">
        <f>G25</f>
        <v>0</v>
      </c>
      <c r="H26" s="88">
        <f t="shared" si="7"/>
        <v>0</v>
      </c>
      <c r="I26" s="89">
        <f t="shared" si="8"/>
        <v>0</v>
      </c>
      <c r="K26" s="99"/>
      <c r="L26" s="99"/>
      <c r="M26" s="99"/>
      <c r="N26" s="99"/>
    </row>
    <row r="27" spans="2:15" ht="14.1" hidden="1">
      <c r="B27" s="865" t="s">
        <v>72</v>
      </c>
      <c r="C27" s="866"/>
      <c r="D27" s="33">
        <f>'Założenia 2 - Dane wejściowe'!J64</f>
        <v>0</v>
      </c>
      <c r="E27" s="101">
        <f>D27*'Założenia 2 - Dane wejściowe'!$G$54</f>
        <v>0</v>
      </c>
      <c r="F27" s="33">
        <f>'Założenia 2 - Dane wejściowe'!D64</f>
        <v>600</v>
      </c>
      <c r="G27" s="87">
        <f>G26</f>
        <v>0</v>
      </c>
      <c r="H27" s="88">
        <f t="shared" si="7"/>
        <v>0</v>
      </c>
      <c r="I27" s="89">
        <f t="shared" si="8"/>
        <v>0</v>
      </c>
      <c r="O27" s="99"/>
    </row>
    <row r="28" spans="2:15" ht="14.1" hidden="1">
      <c r="B28" s="867" t="s">
        <v>60</v>
      </c>
      <c r="C28" s="868"/>
      <c r="D28" s="33">
        <f>'Założenia 2 - Dane wejściowe'!J65</f>
        <v>0</v>
      </c>
      <c r="E28" s="101">
        <f>D28*'Założenia 2 - Dane wejściowe'!$G$55</f>
        <v>0</v>
      </c>
      <c r="F28" s="33">
        <f>'Założenia 2 - Dane wejściowe'!D65</f>
        <v>450</v>
      </c>
      <c r="G28" s="87">
        <f>G27</f>
        <v>0</v>
      </c>
      <c r="H28" s="88">
        <f t="shared" si="7"/>
        <v>0</v>
      </c>
      <c r="I28" s="89">
        <f t="shared" si="8"/>
        <v>0</v>
      </c>
    </row>
    <row r="29" spans="2:15" ht="14.4" hidden="1" thickBot="1">
      <c r="B29" s="869" t="s">
        <v>62</v>
      </c>
      <c r="C29" s="870"/>
      <c r="D29" s="33">
        <f>'Założenia 2 - Dane wejściowe'!J66</f>
        <v>0</v>
      </c>
      <c r="E29" s="102">
        <f>D29*'Założenia 2 - Dane wejściowe'!$G$54</f>
        <v>0</v>
      </c>
      <c r="F29" s="33">
        <f>'Założenia 2 - Dane wejściowe'!D66</f>
        <v>450</v>
      </c>
      <c r="G29" s="87">
        <f>G28</f>
        <v>0</v>
      </c>
      <c r="H29" s="88">
        <f t="shared" si="7"/>
        <v>0</v>
      </c>
      <c r="I29" s="89">
        <f t="shared" si="8"/>
        <v>0</v>
      </c>
    </row>
    <row r="30" spans="2:15" ht="14.7" hidden="1" thickBot="1">
      <c r="G30" s="48" t="s">
        <v>7</v>
      </c>
      <c r="H30" s="109">
        <f t="shared" ref="H30:I30" si="9">SUM(H24:H29)</f>
        <v>0</v>
      </c>
      <c r="I30" s="405">
        <f t="shared" si="9"/>
        <v>0</v>
      </c>
    </row>
    <row r="31" spans="2:15" ht="14.4" hidden="1">
      <c r="F31" s="513"/>
      <c r="G31" s="514"/>
      <c r="H31" s="515"/>
      <c r="I31" s="516"/>
    </row>
    <row r="32" spans="2:15" ht="14.1" thickBot="1"/>
    <row r="33" spans="2:16" ht="64.8" thickBot="1">
      <c r="B33" s="49" t="s">
        <v>71</v>
      </c>
      <c r="C33" s="41" t="s">
        <v>159</v>
      </c>
      <c r="D33" s="42" t="s">
        <v>77</v>
      </c>
    </row>
    <row r="34" spans="2:16" ht="14.4">
      <c r="B34" s="43" t="str">
        <f>C5</f>
        <v>DK nr 12</v>
      </c>
      <c r="C34" s="115">
        <f>D6+D7+D8+D9+D10+D11</f>
        <v>7047</v>
      </c>
      <c r="D34" s="116">
        <f>E6+E7+E8+E9+E10+E11</f>
        <v>8331.5196358463527</v>
      </c>
      <c r="L34" s="99"/>
      <c r="M34" s="99"/>
      <c r="N34" s="99"/>
      <c r="O34" s="99"/>
    </row>
    <row r="35" spans="2:16" ht="14.4">
      <c r="B35" s="165" t="str">
        <f>C14</f>
        <v>DW nr 297</v>
      </c>
      <c r="C35" s="115">
        <f>SUM(D15:D20)</f>
        <v>4250</v>
      </c>
      <c r="D35" s="116">
        <f>SUM(E15:E20)</f>
        <v>5028.3337137344797</v>
      </c>
      <c r="P35" s="99"/>
    </row>
    <row r="36" spans="2:16" ht="14.7" hidden="1" thickBot="1">
      <c r="B36" s="169">
        <f>C23</f>
        <v>0</v>
      </c>
      <c r="C36" s="170">
        <f>SUM(D24:D29)</f>
        <v>0</v>
      </c>
      <c r="D36" s="171">
        <f>SUM(E24:E29)</f>
        <v>0</v>
      </c>
    </row>
    <row r="42" spans="2:16">
      <c r="M42" s="99"/>
      <c r="N42" s="99"/>
      <c r="O42" s="99"/>
      <c r="P42" s="99"/>
    </row>
  </sheetData>
  <mergeCells count="19">
    <mergeCell ref="B27:C27"/>
    <mergeCell ref="B28:C28"/>
    <mergeCell ref="B29:C29"/>
    <mergeCell ref="B19:C19"/>
    <mergeCell ref="B20:C20"/>
    <mergeCell ref="B24:C24"/>
    <mergeCell ref="B25:C25"/>
    <mergeCell ref="B26:C26"/>
    <mergeCell ref="B2:P2"/>
    <mergeCell ref="B15:C15"/>
    <mergeCell ref="B16:C16"/>
    <mergeCell ref="B17:C17"/>
    <mergeCell ref="B18:C18"/>
    <mergeCell ref="B9:C9"/>
    <mergeCell ref="B10:C10"/>
    <mergeCell ref="B11:C11"/>
    <mergeCell ref="B6:C6"/>
    <mergeCell ref="B7:C7"/>
    <mergeCell ref="B8:C8"/>
  </mergeCells>
  <pageMargins left="0.7" right="0.7" top="0.75" bottom="0.75" header="0.3" footer="0.3"/>
  <pageSetup paperSize="9" scale="57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B1:O54"/>
  <sheetViews>
    <sheetView view="pageBreakPreview" topLeftCell="A7" zoomScale="90" zoomScaleNormal="90" zoomScaleSheetLayoutView="90" workbookViewId="0">
      <selection activeCell="M11" activeCellId="1" sqref="M8:M10 M11:M13"/>
    </sheetView>
  </sheetViews>
  <sheetFormatPr defaultRowHeight="13.8"/>
  <cols>
    <col min="1" max="1" width="3.7109375" customWidth="1"/>
    <col min="2" max="2" width="11.1875" customWidth="1"/>
    <col min="3" max="3" width="7.90234375" customWidth="1"/>
    <col min="4" max="4" width="8.1875" customWidth="1"/>
    <col min="5" max="5" width="13.7109375" customWidth="1"/>
    <col min="6" max="6" width="10.37890625" customWidth="1"/>
    <col min="7" max="8" width="11.7109375" customWidth="1"/>
    <col min="9" max="10" width="9.47265625" customWidth="1"/>
    <col min="12" max="12" width="14.37890625" customWidth="1"/>
    <col min="13" max="13" width="26.90234375" customWidth="1"/>
    <col min="14" max="14" width="12.37890625" style="307" bestFit="1" customWidth="1"/>
  </cols>
  <sheetData>
    <row r="1" spans="2:15" ht="14.1" thickBot="1"/>
    <row r="2" spans="2:15" ht="14.4" thickBot="1">
      <c r="B2" s="418" t="s">
        <v>66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30"/>
    </row>
    <row r="5" spans="2:15" ht="14.1" thickBot="1"/>
    <row r="6" spans="2:15" ht="14.1" thickBot="1">
      <c r="B6" s="894" t="s">
        <v>48</v>
      </c>
      <c r="C6" s="895"/>
      <c r="D6" s="895"/>
      <c r="E6" s="895"/>
      <c r="F6" s="896"/>
      <c r="O6" s="103"/>
    </row>
    <row r="7" spans="2:15" ht="39.6" thickBot="1">
      <c r="B7" s="889">
        <v>2015</v>
      </c>
      <c r="C7" s="890"/>
      <c r="D7" s="891"/>
      <c r="E7" s="27" t="s">
        <v>49</v>
      </c>
      <c r="F7" s="27" t="s">
        <v>50</v>
      </c>
      <c r="G7" s="27" t="s">
        <v>51</v>
      </c>
      <c r="H7" s="27" t="s">
        <v>259</v>
      </c>
      <c r="I7" s="27" t="s">
        <v>52</v>
      </c>
      <c r="J7" s="27" t="s">
        <v>53</v>
      </c>
      <c r="K7" s="27" t="s">
        <v>64</v>
      </c>
      <c r="L7" s="27" t="s">
        <v>17</v>
      </c>
      <c r="M7" s="28" t="s">
        <v>65</v>
      </c>
      <c r="O7" s="103"/>
    </row>
    <row r="8" spans="2:15">
      <c r="B8" s="892" t="s">
        <v>57</v>
      </c>
      <c r="C8" s="893">
        <f>D8+D9+D10</f>
        <v>1815</v>
      </c>
      <c r="D8" s="11">
        <f>'Założenia 2 - Dane wejściowe'!M79</f>
        <v>1815</v>
      </c>
      <c r="E8" s="25" t="s">
        <v>54</v>
      </c>
      <c r="F8" s="437">
        <f>'Założenia 2 - Dane wejściowe'!D79</f>
        <v>0.755</v>
      </c>
      <c r="G8" s="440">
        <f>'Założenia 2 - Dane wejściowe'!E79</f>
        <v>7000</v>
      </c>
      <c r="H8" s="440">
        <f>'Założenia 2 - Dane wejściowe'!F79</f>
        <v>0.9</v>
      </c>
      <c r="I8" s="439">
        <f>'Założenia 2 - Dane wejściowe'!G79</f>
        <v>0.05</v>
      </c>
      <c r="J8" s="438">
        <f>'Założenia 2 - Dane wejściowe'!H79</f>
        <v>4.48E-2</v>
      </c>
      <c r="K8" s="440">
        <f>'Założenia 2 - Dane wejściowe'!I79</f>
        <v>68.61</v>
      </c>
      <c r="L8" s="441">
        <f>D8*F8*G8*H8*I8*J8*K8/1000</f>
        <v>1326.7819913039998</v>
      </c>
      <c r="M8" s="871">
        <f>L8+L9+L10</f>
        <v>1326.7819913039998</v>
      </c>
      <c r="O8" s="103"/>
    </row>
    <row r="9" spans="2:15" ht="13.95" customHeight="1">
      <c r="B9" s="875"/>
      <c r="C9" s="881"/>
      <c r="D9" s="11">
        <f>'Założenia 2 - Dane wejściowe'!M80</f>
        <v>0</v>
      </c>
      <c r="E9" s="26" t="s">
        <v>55</v>
      </c>
      <c r="F9" s="437">
        <f>'Założenia 2 - Dane wejściowe'!D80</f>
        <v>0.84</v>
      </c>
      <c r="G9" s="440">
        <f>'Założenia 2 - Dane wejściowe'!E80</f>
        <v>7000</v>
      </c>
      <c r="H9" s="440">
        <f>'Założenia 2 - Dane wejściowe'!F80</f>
        <v>0.9</v>
      </c>
      <c r="I9" s="439">
        <f>'Założenia 2 - Dane wejściowe'!G80</f>
        <v>0.05</v>
      </c>
      <c r="J9" s="438">
        <f>'Założenia 2 - Dane wejściowe'!H80</f>
        <v>4.333E-2</v>
      </c>
      <c r="K9" s="440">
        <f>'Założenia 2 - Dane wejściowe'!I80</f>
        <v>73.33</v>
      </c>
      <c r="L9" s="441">
        <f t="shared" ref="L9:L25" si="0">D9*F9*G9*H9*I9*J9*K9/1000</f>
        <v>0</v>
      </c>
      <c r="M9" s="872"/>
    </row>
    <row r="10" spans="2:15" ht="14.1" thickBot="1">
      <c r="B10" s="876"/>
      <c r="C10" s="882"/>
      <c r="D10" s="11">
        <f>'Założenia 2 - Dane wejściowe'!M81</f>
        <v>0</v>
      </c>
      <c r="E10" s="26" t="s">
        <v>56</v>
      </c>
      <c r="F10" s="437">
        <f>'Założenia 2 - Dane wejściowe'!D81</f>
        <v>0.5</v>
      </c>
      <c r="G10" s="440">
        <f>'Założenia 2 - Dane wejściowe'!E81</f>
        <v>7000</v>
      </c>
      <c r="H10" s="440">
        <f>'Założenia 2 - Dane wejściowe'!F81</f>
        <v>0.9</v>
      </c>
      <c r="I10" s="439">
        <f>'Założenia 2 - Dane wejściowe'!G81</f>
        <v>0.1</v>
      </c>
      <c r="J10" s="438">
        <f>'Założenia 2 - Dane wejściowe'!H81</f>
        <v>4.7309999999999998E-2</v>
      </c>
      <c r="K10" s="440">
        <f>'Założenia 2 - Dane wejściowe'!I81</f>
        <v>62.44</v>
      </c>
      <c r="L10" s="441">
        <f t="shared" si="0"/>
        <v>0</v>
      </c>
      <c r="M10" s="873"/>
    </row>
    <row r="11" spans="2:15">
      <c r="B11" s="874" t="s">
        <v>58</v>
      </c>
      <c r="C11" s="893">
        <f t="shared" ref="C11" si="1">D11+D12+D13</f>
        <v>14327</v>
      </c>
      <c r="D11" s="11">
        <f>'Założenia 2 - Dane wejściowe'!M82</f>
        <v>9195</v>
      </c>
      <c r="E11" s="25" t="s">
        <v>54</v>
      </c>
      <c r="F11" s="437">
        <f>'Założenia 2 - Dane wejściowe'!D82</f>
        <v>0.755</v>
      </c>
      <c r="G11" s="440">
        <f>'Założenia 2 - Dane wejściowe'!E82</f>
        <v>5876</v>
      </c>
      <c r="H11" s="440">
        <f>'Założenia 2 - Dane wejściowe'!F82</f>
        <v>0.9</v>
      </c>
      <c r="I11" s="439">
        <f>'Założenia 2 - Dane wejściowe'!G82</f>
        <v>0.08</v>
      </c>
      <c r="J11" s="438">
        <f>'Założenia 2 - Dane wejściowe'!H82</f>
        <v>4.48E-2</v>
      </c>
      <c r="K11" s="440">
        <f>'Założenia 2 - Dane wejściowe'!I82</f>
        <v>68.61</v>
      </c>
      <c r="L11" s="441">
        <f t="shared" si="0"/>
        <v>9027.7266801286678</v>
      </c>
      <c r="M11" s="871">
        <f>L11+L12+L13</f>
        <v>18083.284308640908</v>
      </c>
    </row>
    <row r="12" spans="2:15" ht="13.95" customHeight="1">
      <c r="B12" s="875"/>
      <c r="C12" s="881"/>
      <c r="D12" s="11">
        <f>'Założenia 2 - Dane wejściowe'!M83</f>
        <v>3197</v>
      </c>
      <c r="E12" s="26" t="s">
        <v>55</v>
      </c>
      <c r="F12" s="437">
        <f>'Założenia 2 - Dane wejściowe'!D83</f>
        <v>0.84</v>
      </c>
      <c r="G12" s="440">
        <f>'Założenia 2 - Dane wejściowe'!E83</f>
        <v>12016</v>
      </c>
      <c r="H12" s="440">
        <f>'Założenia 2 - Dane wejściowe'!F83</f>
        <v>0.9</v>
      </c>
      <c r="I12" s="439">
        <f>'Założenia 2 - Dane wejściowe'!G83</f>
        <v>7.0000000000000007E-2</v>
      </c>
      <c r="J12" s="438">
        <f>'Założenia 2 - Dane wejściowe'!H83</f>
        <v>4.333E-2</v>
      </c>
      <c r="K12" s="440">
        <f>'Założenia 2 - Dane wejściowe'!I83</f>
        <v>73.33</v>
      </c>
      <c r="L12" s="441">
        <f t="shared" si="0"/>
        <v>6459.4087202959499</v>
      </c>
      <c r="M12" s="872"/>
    </row>
    <row r="13" spans="2:15" ht="14.1" thickBot="1">
      <c r="B13" s="876"/>
      <c r="C13" s="882"/>
      <c r="D13" s="11">
        <f>'Założenia 2 - Dane wejściowe'!M84</f>
        <v>1935</v>
      </c>
      <c r="E13" s="26" t="s">
        <v>56</v>
      </c>
      <c r="F13" s="437">
        <f>'Założenia 2 - Dane wejściowe'!D84</f>
        <v>0.5</v>
      </c>
      <c r="G13" s="440">
        <f>'Założenia 2 - Dane wejściowe'!E84</f>
        <v>10093</v>
      </c>
      <c r="H13" s="440">
        <f>'Założenia 2 - Dane wejściowe'!F84</f>
        <v>0.9</v>
      </c>
      <c r="I13" s="439">
        <f>'Założenia 2 - Dane wejściowe'!G84</f>
        <v>0.1</v>
      </c>
      <c r="J13" s="438">
        <f>'Założenia 2 - Dane wejściowe'!H84</f>
        <v>4.7309999999999998E-2</v>
      </c>
      <c r="K13" s="440">
        <f>'Założenia 2 - Dane wejściowe'!I84</f>
        <v>62.44</v>
      </c>
      <c r="L13" s="441">
        <f t="shared" si="0"/>
        <v>2596.1489082162902</v>
      </c>
      <c r="M13" s="873"/>
    </row>
    <row r="14" spans="2:15">
      <c r="B14" s="874" t="s">
        <v>59</v>
      </c>
      <c r="C14" s="893">
        <f t="shared" ref="C14" si="2">D14+D15+D16</f>
        <v>1759</v>
      </c>
      <c r="D14" s="11">
        <f>'Założenia 2 - Dane wejściowe'!M85</f>
        <v>479</v>
      </c>
      <c r="E14" s="25" t="s">
        <v>54</v>
      </c>
      <c r="F14" s="437">
        <f>'Założenia 2 - Dane wejściowe'!D85</f>
        <v>0.755</v>
      </c>
      <c r="G14" s="440">
        <f>'Założenia 2 - Dane wejściowe'!E85</f>
        <v>18776</v>
      </c>
      <c r="H14" s="440">
        <f>'Założenia 2 - Dane wejściowe'!F85</f>
        <v>0.25</v>
      </c>
      <c r="I14" s="439">
        <f>'Założenia 2 - Dane wejściowe'!G85</f>
        <v>0.32</v>
      </c>
      <c r="J14" s="438">
        <f>'Założenia 2 - Dane wejściowe'!H85</f>
        <v>4.48E-2</v>
      </c>
      <c r="K14" s="440">
        <f>'Założenia 2 - Dane wejściowe'!I85</f>
        <v>68.61</v>
      </c>
      <c r="L14" s="441">
        <f t="shared" si="0"/>
        <v>1669.7096684341245</v>
      </c>
      <c r="M14" s="871">
        <f t="shared" ref="M14" si="3">L14+L15+L16</f>
        <v>7100.1777775469063</v>
      </c>
    </row>
    <row r="15" spans="2:15">
      <c r="B15" s="875"/>
      <c r="C15" s="881"/>
      <c r="D15" s="11">
        <f>'Założenia 2 - Dane wejściowe'!M86</f>
        <v>1213</v>
      </c>
      <c r="E15" s="26" t="s">
        <v>55</v>
      </c>
      <c r="F15" s="437">
        <f>'Założenia 2 - Dane wejściowe'!D86</f>
        <v>0.84</v>
      </c>
      <c r="G15" s="440">
        <f>'Założenia 2 - Dane wejściowe'!E86</f>
        <v>26142</v>
      </c>
      <c r="H15" s="440">
        <f>'Założenia 2 - Dane wejściowe'!F86</f>
        <v>0.25</v>
      </c>
      <c r="I15" s="439">
        <f>'Założenia 2 - Dane wejściowe'!G86</f>
        <v>0.25</v>
      </c>
      <c r="J15" s="438">
        <f>'Założenia 2 - Dane wejściowe'!H86</f>
        <v>4.333E-2</v>
      </c>
      <c r="K15" s="440">
        <f>'Założenia 2 - Dane wejściowe'!I86</f>
        <v>73.33</v>
      </c>
      <c r="L15" s="441">
        <f t="shared" si="0"/>
        <v>5289.6786419751443</v>
      </c>
      <c r="M15" s="872"/>
    </row>
    <row r="16" spans="2:15" ht="14.1" thickBot="1">
      <c r="B16" s="876"/>
      <c r="C16" s="882"/>
      <c r="D16" s="11">
        <f>'Założenia 2 - Dane wejściowe'!M87</f>
        <v>67</v>
      </c>
      <c r="E16" s="26" t="s">
        <v>56</v>
      </c>
      <c r="F16" s="437">
        <f>'Założenia 2 - Dane wejściowe'!D87</f>
        <v>0.5</v>
      </c>
      <c r="G16" s="440">
        <f>'Założenia 2 - Dane wejściowe'!E87</f>
        <v>22763</v>
      </c>
      <c r="H16" s="440">
        <f>'Założenia 2 - Dane wejściowe'!F87</f>
        <v>0.25</v>
      </c>
      <c r="I16" s="439">
        <f>'Założenia 2 - Dane wejściowe'!G87</f>
        <v>0.25</v>
      </c>
      <c r="J16" s="438">
        <f>'Założenia 2 - Dane wejściowe'!H87</f>
        <v>4.7309999999999998E-2</v>
      </c>
      <c r="K16" s="440">
        <f>'Założenia 2 - Dane wejściowe'!I87</f>
        <v>62.44</v>
      </c>
      <c r="L16" s="441">
        <f t="shared" si="0"/>
        <v>140.7894671376375</v>
      </c>
      <c r="M16" s="873"/>
    </row>
    <row r="17" spans="2:13">
      <c r="B17" s="883" t="s">
        <v>60</v>
      </c>
      <c r="C17" s="893">
        <f t="shared" ref="C17" si="4">D17+D18+D19</f>
        <v>54</v>
      </c>
      <c r="D17" s="11">
        <f>'Założenia 2 - Dane wejściowe'!M88</f>
        <v>3</v>
      </c>
      <c r="E17" s="25" t="s">
        <v>54</v>
      </c>
      <c r="F17" s="437">
        <f>'Założenia 2 - Dane wejściowe'!D88</f>
        <v>0.755</v>
      </c>
      <c r="G17" s="440">
        <f>'Założenia 2 - Dane wejściowe'!E88</f>
        <v>21982</v>
      </c>
      <c r="H17" s="440">
        <f>'Założenia 2 - Dane wejściowe'!F88</f>
        <v>0.25</v>
      </c>
      <c r="I17" s="439">
        <f>'Założenia 2 - Dane wejściowe'!G88</f>
        <v>0.28000000000000003</v>
      </c>
      <c r="J17" s="438">
        <f>'Założenia 2 - Dane wejściowe'!H88</f>
        <v>4.48E-2</v>
      </c>
      <c r="K17" s="440">
        <f>'Założenia 2 - Dane wejściowe'!I88</f>
        <v>68.61</v>
      </c>
      <c r="L17" s="441">
        <f t="shared" si="0"/>
        <v>10.712698524460802</v>
      </c>
      <c r="M17" s="871">
        <f t="shared" ref="M17" si="5">L17+L18+L19</f>
        <v>259.86009455811211</v>
      </c>
    </row>
    <row r="18" spans="2:13" ht="13.95" customHeight="1">
      <c r="B18" s="884"/>
      <c r="C18" s="881"/>
      <c r="D18" s="11">
        <f>'Założenia 2 - Dane wejściowe'!M89</f>
        <v>51</v>
      </c>
      <c r="E18" s="26" t="s">
        <v>55</v>
      </c>
      <c r="F18" s="437">
        <f>'Założenia 2 - Dane wejściowe'!D89</f>
        <v>0.84</v>
      </c>
      <c r="G18" s="440">
        <f>'Założenia 2 - Dane wejściowe'!E89</f>
        <v>26148</v>
      </c>
      <c r="H18" s="440">
        <f>'Założenia 2 - Dane wejściowe'!F89</f>
        <v>0.25</v>
      </c>
      <c r="I18" s="439">
        <f>'Założenia 2 - Dane wejściowe'!G89</f>
        <v>0.28000000000000003</v>
      </c>
      <c r="J18" s="438">
        <f>'Założenia 2 - Dane wejściowe'!H89</f>
        <v>4.333E-2</v>
      </c>
      <c r="K18" s="440">
        <f>'Założenia 2 - Dane wejściowe'!I89</f>
        <v>73.33</v>
      </c>
      <c r="L18" s="441">
        <f t="shared" si="0"/>
        <v>249.14739603365132</v>
      </c>
      <c r="M18" s="872"/>
    </row>
    <row r="19" spans="2:13" ht="14.1" thickBot="1">
      <c r="B19" s="885"/>
      <c r="C19" s="882"/>
      <c r="D19" s="11">
        <f>'Założenia 2 - Dane wejściowe'!M90</f>
        <v>0</v>
      </c>
      <c r="E19" s="26" t="s">
        <v>56</v>
      </c>
      <c r="F19" s="437">
        <f>'Założenia 2 - Dane wejściowe'!D90</f>
        <v>0.5</v>
      </c>
      <c r="G19" s="440">
        <f>'Założenia 2 - Dane wejściowe'!E90</f>
        <v>23625</v>
      </c>
      <c r="H19" s="440">
        <f>'Założenia 2 - Dane wejściowe'!F90</f>
        <v>0.25</v>
      </c>
      <c r="I19" s="439">
        <f>'Założenia 2 - Dane wejściowe'!G90</f>
        <v>0.35</v>
      </c>
      <c r="J19" s="438">
        <f>'Założenia 2 - Dane wejściowe'!H90</f>
        <v>4.7309999999999998E-2</v>
      </c>
      <c r="K19" s="440">
        <f>'Założenia 2 - Dane wejściowe'!I90</f>
        <v>62.44</v>
      </c>
      <c r="L19" s="441">
        <f t="shared" si="0"/>
        <v>0</v>
      </c>
      <c r="M19" s="873"/>
    </row>
    <row r="20" spans="2:13">
      <c r="B20" s="874" t="s">
        <v>61</v>
      </c>
      <c r="C20" s="893">
        <f t="shared" ref="C20" si="6">D20+D21+D22</f>
        <v>113</v>
      </c>
      <c r="D20" s="11">
        <f>'Założenia 2 - Dane wejściowe'!M91</f>
        <v>40</v>
      </c>
      <c r="E20" s="25" t="s">
        <v>54</v>
      </c>
      <c r="F20" s="437">
        <f>'Założenia 2 - Dane wejściowe'!D91</f>
        <v>0.755</v>
      </c>
      <c r="G20" s="440">
        <f>'Założenia 2 - Dane wejściowe'!E91</f>
        <v>7417</v>
      </c>
      <c r="H20" s="440">
        <f>'Założenia 2 - Dane wejściowe'!F91</f>
        <v>0.95</v>
      </c>
      <c r="I20" s="439">
        <f>'Założenia 2 - Dane wejściowe'!G91</f>
        <v>0.1</v>
      </c>
      <c r="J20" s="438">
        <f>'Założenia 2 - Dane wejściowe'!H91</f>
        <v>4.48E-2</v>
      </c>
      <c r="K20" s="440">
        <f>'Założenia 2 - Dane wejściowe'!I91</f>
        <v>68.61</v>
      </c>
      <c r="L20" s="441">
        <f t="shared" si="0"/>
        <v>65.407004612544</v>
      </c>
      <c r="M20" s="871">
        <f t="shared" ref="M20" si="7">L20+L21+L22</f>
        <v>353.18255793800199</v>
      </c>
    </row>
    <row r="21" spans="2:13" ht="13.95" customHeight="1">
      <c r="B21" s="875"/>
      <c r="C21" s="881"/>
      <c r="D21" s="11">
        <f>'Założenia 2 - Dane wejściowe'!M92</f>
        <v>73</v>
      </c>
      <c r="E21" s="26" t="s">
        <v>55</v>
      </c>
      <c r="F21" s="437">
        <f>'Założenia 2 - Dane wejściowe'!D92</f>
        <v>0.84</v>
      </c>
      <c r="G21" s="440">
        <f>'Założenia 2 - Dane wejściowe'!E92</f>
        <v>14134</v>
      </c>
      <c r="H21" s="440">
        <f>'Założenia 2 - Dane wejściowe'!F92</f>
        <v>0.95</v>
      </c>
      <c r="I21" s="439">
        <f>'Założenia 2 - Dane wejściowe'!G92</f>
        <v>0.11</v>
      </c>
      <c r="J21" s="438">
        <f>'Założenia 2 - Dane wejściowe'!H92</f>
        <v>4.333E-2</v>
      </c>
      <c r="K21" s="440">
        <f>'Założenia 2 - Dane wejściowe'!I92</f>
        <v>73.33</v>
      </c>
      <c r="L21" s="441">
        <f t="shared" si="0"/>
        <v>287.77555332545802</v>
      </c>
      <c r="M21" s="872"/>
    </row>
    <row r="22" spans="2:13" ht="14.1" thickBot="1">
      <c r="B22" s="876"/>
      <c r="C22" s="882"/>
      <c r="D22" s="11">
        <f>'Założenia 2 - Dane wejściowe'!M93</f>
        <v>0</v>
      </c>
      <c r="E22" s="26" t="s">
        <v>56</v>
      </c>
      <c r="F22" s="437">
        <f>'Założenia 2 - Dane wejściowe'!D93</f>
        <v>0.5</v>
      </c>
      <c r="G22" s="440">
        <f>'Założenia 2 - Dane wejściowe'!E93</f>
        <v>20092</v>
      </c>
      <c r="H22" s="440">
        <f>'Założenia 2 - Dane wejściowe'!F93</f>
        <v>0.95</v>
      </c>
      <c r="I22" s="439">
        <f>'Założenia 2 - Dane wejściowe'!G93</f>
        <v>0.13</v>
      </c>
      <c r="J22" s="438">
        <f>'Założenia 2 - Dane wejściowe'!H93</f>
        <v>4.7309999999999998E-2</v>
      </c>
      <c r="K22" s="440">
        <f>'Założenia 2 - Dane wejściowe'!I93</f>
        <v>62.44</v>
      </c>
      <c r="L22" s="441">
        <f t="shared" si="0"/>
        <v>0</v>
      </c>
      <c r="M22" s="873"/>
    </row>
    <row r="23" spans="2:13">
      <c r="B23" s="874" t="s">
        <v>62</v>
      </c>
      <c r="C23" s="893">
        <f t="shared" ref="C23" si="8">D23+D24+D25</f>
        <v>872</v>
      </c>
      <c r="D23" s="11">
        <f>'Założenia 2 - Dane wejściowe'!M94</f>
        <v>6</v>
      </c>
      <c r="E23" s="25" t="s">
        <v>54</v>
      </c>
      <c r="F23" s="437">
        <f>'Założenia 2 - Dane wejściowe'!D94</f>
        <v>0.755</v>
      </c>
      <c r="G23" s="440">
        <f>'Założenia 2 - Dane wejściowe'!E94</f>
        <v>6728</v>
      </c>
      <c r="H23" s="440">
        <f>'Założenia 2 - Dane wejściowe'!F94</f>
        <v>1</v>
      </c>
      <c r="I23" s="439">
        <f>'Założenia 2 - Dane wejściowe'!G94</f>
        <v>0.32</v>
      </c>
      <c r="J23" s="438">
        <f>'Założenia 2 - Dane wejściowe'!H94</f>
        <v>4.48E-2</v>
      </c>
      <c r="K23" s="440">
        <f>'Założenia 2 - Dane wejściowe'!I94</f>
        <v>68.61</v>
      </c>
      <c r="L23" s="441">
        <f t="shared" si="0"/>
        <v>29.977788860006402</v>
      </c>
      <c r="M23" s="871">
        <f t="shared" ref="M23" si="9">L23+L24+L25</f>
        <v>7582.9237145821398</v>
      </c>
    </row>
    <row r="24" spans="2:13" ht="13.95" customHeight="1">
      <c r="B24" s="875"/>
      <c r="C24" s="881"/>
      <c r="D24" s="11">
        <f>'Założenia 2 - Dane wejściowe'!M95</f>
        <v>866</v>
      </c>
      <c r="E24" s="26" t="s">
        <v>55</v>
      </c>
      <c r="F24" s="437">
        <f>'Założenia 2 - Dane wejściowe'!D95</f>
        <v>0.84</v>
      </c>
      <c r="G24" s="440">
        <f>'Założenia 2 - Dane wejściowe'!E95</f>
        <v>13071</v>
      </c>
      <c r="H24" s="440">
        <f>'Założenia 2 - Dane wejściowe'!F95</f>
        <v>1</v>
      </c>
      <c r="I24" s="439">
        <f>'Założenia 2 - Dane wejściowe'!G95</f>
        <v>0.25</v>
      </c>
      <c r="J24" s="438">
        <f>'Założenia 2 - Dane wejściowe'!H95</f>
        <v>4.333E-2</v>
      </c>
      <c r="K24" s="440">
        <f>'Założenia 2 - Dane wejściowe'!I95</f>
        <v>73.33</v>
      </c>
      <c r="L24" s="441">
        <f t="shared" si="0"/>
        <v>7552.9459257221333</v>
      </c>
      <c r="M24" s="872"/>
    </row>
    <row r="25" spans="2:13" ht="14.1" thickBot="1">
      <c r="B25" s="876"/>
      <c r="C25" s="882"/>
      <c r="D25" s="11">
        <f>'Założenia 2 - Dane wejściowe'!M96</f>
        <v>0</v>
      </c>
      <c r="E25" s="26" t="s">
        <v>56</v>
      </c>
      <c r="F25" s="437">
        <f>'Założenia 2 - Dane wejściowe'!D96</f>
        <v>0.5</v>
      </c>
      <c r="G25" s="440">
        <f>'Założenia 2 - Dane wejściowe'!E96</f>
        <v>8772</v>
      </c>
      <c r="H25" s="440">
        <f>'Założenia 2 - Dane wejściowe'!F96</f>
        <v>1</v>
      </c>
      <c r="I25" s="439">
        <f>'Założenia 2 - Dane wejściowe'!G96</f>
        <v>0.18</v>
      </c>
      <c r="J25" s="438">
        <f>'Założenia 2 - Dane wejściowe'!H96</f>
        <v>4.7309999999999998E-2</v>
      </c>
      <c r="K25" s="440">
        <f>'Założenia 2 - Dane wejściowe'!I96</f>
        <v>62.44</v>
      </c>
      <c r="L25" s="441">
        <f t="shared" si="0"/>
        <v>0</v>
      </c>
      <c r="M25" s="873"/>
    </row>
    <row r="26" spans="2:13">
      <c r="B26" s="874" t="s">
        <v>63</v>
      </c>
      <c r="C26" s="893">
        <f>D26+D27+D28</f>
        <v>18940</v>
      </c>
      <c r="D26" s="2">
        <f>D8+D11+D14+D17+D20+D23</f>
        <v>11538</v>
      </c>
      <c r="E26" s="104" t="s">
        <v>54</v>
      </c>
      <c r="F26" s="105"/>
      <c r="G26" s="106"/>
      <c r="H26" s="106"/>
      <c r="I26" s="106"/>
      <c r="J26" s="106"/>
      <c r="K26" s="106"/>
      <c r="L26" s="442">
        <f>L8+L11+L14+L17+L20+L23</f>
        <v>12130.315831863803</v>
      </c>
      <c r="M26" s="880">
        <f>M8+M11+M14+M17+M20+M23</f>
        <v>34706.210444570068</v>
      </c>
    </row>
    <row r="27" spans="2:13">
      <c r="B27" s="875"/>
      <c r="C27" s="881"/>
      <c r="D27" s="2">
        <f t="shared" ref="D27:D28" si="10">D9+D12+D15+D18+D21+D24</f>
        <v>5400</v>
      </c>
      <c r="E27" s="104" t="s">
        <v>55</v>
      </c>
      <c r="F27" s="106"/>
      <c r="G27" s="106"/>
      <c r="H27" s="106"/>
      <c r="I27" s="106"/>
      <c r="J27" s="106"/>
      <c r="K27" s="106"/>
      <c r="L27" s="442">
        <f>L9+L12+L15+L18+L21+L24</f>
        <v>19838.956237352337</v>
      </c>
      <c r="M27" s="881"/>
    </row>
    <row r="28" spans="2:13">
      <c r="B28" s="876"/>
      <c r="C28" s="882"/>
      <c r="D28" s="2">
        <f t="shared" si="10"/>
        <v>2002</v>
      </c>
      <c r="E28" s="104" t="s">
        <v>56</v>
      </c>
      <c r="F28" s="106"/>
      <c r="G28" s="106"/>
      <c r="H28" s="106"/>
      <c r="I28" s="106"/>
      <c r="J28" s="106"/>
      <c r="K28" s="106"/>
      <c r="L28" s="442">
        <f t="shared" ref="L28" si="11">L10+L13+L16+L19+L22+L25</f>
        <v>2736.9383753539278</v>
      </c>
      <c r="M28" s="882"/>
    </row>
    <row r="30" spans="2:13" ht="14.1" thickBot="1"/>
    <row r="31" spans="2:13" ht="28.95" customHeight="1" thickBot="1">
      <c r="B31" s="886" t="s">
        <v>281</v>
      </c>
      <c r="C31" s="887"/>
      <c r="D31" s="887"/>
      <c r="E31" s="887"/>
      <c r="F31" s="888"/>
    </row>
    <row r="32" spans="2:13" ht="39.6" thickBot="1">
      <c r="B32" s="889">
        <v>2020</v>
      </c>
      <c r="C32" s="890"/>
      <c r="D32" s="891"/>
      <c r="E32" s="27" t="s">
        <v>49</v>
      </c>
      <c r="F32" s="27" t="s">
        <v>50</v>
      </c>
      <c r="G32" s="27" t="s">
        <v>51</v>
      </c>
      <c r="H32" s="27" t="s">
        <v>259</v>
      </c>
      <c r="I32" s="27" t="s">
        <v>52</v>
      </c>
      <c r="J32" s="27" t="s">
        <v>53</v>
      </c>
      <c r="K32" s="27" t="s">
        <v>64</v>
      </c>
      <c r="L32" s="27" t="s">
        <v>17</v>
      </c>
      <c r="M32" s="28" t="s">
        <v>65</v>
      </c>
    </row>
    <row r="33" spans="2:13">
      <c r="B33" s="892" t="s">
        <v>57</v>
      </c>
      <c r="C33" s="877">
        <f>D33+D34+D35</f>
        <v>2154.2653993436015</v>
      </c>
      <c r="D33" s="107">
        <f>'Założenia 2 - Dane wejściowe'!M79*'Założenia 2 - Dane wejściowe'!$G$51</f>
        <v>2154.2653993436015</v>
      </c>
      <c r="E33" s="25" t="s">
        <v>54</v>
      </c>
      <c r="F33" s="437">
        <f>'Założenia 2 - Dane wejściowe'!D79</f>
        <v>0.755</v>
      </c>
      <c r="G33" s="440">
        <f>'Założenia 2 - Dane wejściowe'!E79</f>
        <v>7000</v>
      </c>
      <c r="H33" s="440">
        <f>'Założenia 2 - Dane wejściowe'!F79</f>
        <v>0.9</v>
      </c>
      <c r="I33" s="439">
        <f>'Założenia 2 - Dane wejściowe'!G79</f>
        <v>0.05</v>
      </c>
      <c r="J33" s="438">
        <f>'Założenia 2 - Dane wejściowe'!H79</f>
        <v>4.48E-2</v>
      </c>
      <c r="K33" s="11">
        <f>'Założenia 2 - Dane wejściowe'!I79</f>
        <v>68.61</v>
      </c>
      <c r="L33" s="441">
        <f>D33*F33*G33*H33*I33*J33*K33/1000</f>
        <v>1574.7881742911354</v>
      </c>
      <c r="M33" s="871">
        <f>L33+L34+L35</f>
        <v>1574.7881742911354</v>
      </c>
    </row>
    <row r="34" spans="2:13">
      <c r="B34" s="875"/>
      <c r="C34" s="878"/>
      <c r="D34" s="107">
        <f>'Założenia 2 - Dane wejściowe'!M80*'Założenia 2 - Dane wejściowe'!$G$51</f>
        <v>0</v>
      </c>
      <c r="E34" s="26" t="s">
        <v>55</v>
      </c>
      <c r="F34" s="437">
        <f>'Założenia 2 - Dane wejściowe'!D80</f>
        <v>0.84</v>
      </c>
      <c r="G34" s="440">
        <f>'Założenia 2 - Dane wejściowe'!E80</f>
        <v>7000</v>
      </c>
      <c r="H34" s="440">
        <f>'Założenia 2 - Dane wejściowe'!F80</f>
        <v>0.9</v>
      </c>
      <c r="I34" s="439">
        <f>'Założenia 2 - Dane wejściowe'!G80</f>
        <v>0.05</v>
      </c>
      <c r="J34" s="438">
        <f>'Założenia 2 - Dane wejściowe'!H80</f>
        <v>4.333E-2</v>
      </c>
      <c r="K34" s="11">
        <f>'Założenia 2 - Dane wejściowe'!I80</f>
        <v>73.33</v>
      </c>
      <c r="L34" s="441">
        <f t="shared" ref="L34:L50" si="12">D34*F34*G34*H34*I34*J34*K34/1000</f>
        <v>0</v>
      </c>
      <c r="M34" s="872"/>
    </row>
    <row r="35" spans="2:13" ht="14.1" thickBot="1">
      <c r="B35" s="876"/>
      <c r="C35" s="879"/>
      <c r="D35" s="107">
        <f>'Założenia 2 - Dane wejściowe'!M81*'Założenia 2 - Dane wejściowe'!$G$51</f>
        <v>0</v>
      </c>
      <c r="E35" s="26" t="s">
        <v>56</v>
      </c>
      <c r="F35" s="437">
        <f>'Założenia 2 - Dane wejściowe'!D81</f>
        <v>0.5</v>
      </c>
      <c r="G35" s="440">
        <f>'Założenia 2 - Dane wejściowe'!E81</f>
        <v>7000</v>
      </c>
      <c r="H35" s="440">
        <f>'Założenia 2 - Dane wejściowe'!F81</f>
        <v>0.9</v>
      </c>
      <c r="I35" s="439">
        <f>'Założenia 2 - Dane wejściowe'!G81</f>
        <v>0.1</v>
      </c>
      <c r="J35" s="438">
        <f>'Założenia 2 - Dane wejściowe'!H81</f>
        <v>4.7309999999999998E-2</v>
      </c>
      <c r="K35" s="11">
        <f>'Założenia 2 - Dane wejściowe'!I81</f>
        <v>62.44</v>
      </c>
      <c r="L35" s="441">
        <f t="shared" si="12"/>
        <v>0</v>
      </c>
      <c r="M35" s="873"/>
    </row>
    <row r="36" spans="2:13">
      <c r="B36" s="874" t="s">
        <v>58</v>
      </c>
      <c r="C36" s="877">
        <f t="shared" ref="C36" si="13">D36+D37+D38</f>
        <v>17005.047039336518</v>
      </c>
      <c r="D36" s="107">
        <f>'Założenia 2 - Dane wejściowe'!M82*'Założenia 2 - Dane wejściowe'!$G$51</f>
        <v>10913.757766922543</v>
      </c>
      <c r="E36" s="25" t="s">
        <v>54</v>
      </c>
      <c r="F36" s="437">
        <f>'Założenia 2 - Dane wejściowe'!D82</f>
        <v>0.755</v>
      </c>
      <c r="G36" s="440">
        <f>'Założenia 2 - Dane wejściowe'!E82</f>
        <v>5876</v>
      </c>
      <c r="H36" s="440">
        <f>'Założenia 2 - Dane wejściowe'!F82</f>
        <v>0.9</v>
      </c>
      <c r="I36" s="439">
        <f>'Założenia 2 - Dane wejściowe'!G82</f>
        <v>0.08</v>
      </c>
      <c r="J36" s="438">
        <f>'Założenia 2 - Dane wejściowe'!H82</f>
        <v>4.48E-2</v>
      </c>
      <c r="K36" s="11">
        <f>'Założenia 2 - Dane wejściowe'!I82</f>
        <v>68.61</v>
      </c>
      <c r="L36" s="441">
        <f t="shared" si="12"/>
        <v>10715.217202056345</v>
      </c>
      <c r="M36" s="871">
        <f>L36+L37+L38</f>
        <v>21463.46759922765</v>
      </c>
    </row>
    <row r="37" spans="2:13">
      <c r="B37" s="875"/>
      <c r="C37" s="878"/>
      <c r="D37" s="107">
        <f>'Założenia 2 - Dane wejściowe'!M83*'Założenia 2 - Dane wejściowe'!$G$51</f>
        <v>3794.593102865837</v>
      </c>
      <c r="E37" s="26" t="s">
        <v>55</v>
      </c>
      <c r="F37" s="437">
        <f>'Założenia 2 - Dane wejściowe'!D83</f>
        <v>0.84</v>
      </c>
      <c r="G37" s="440">
        <f>'Założenia 2 - Dane wejściowe'!E83</f>
        <v>12016</v>
      </c>
      <c r="H37" s="440">
        <f>'Założenia 2 - Dane wejściowe'!F83</f>
        <v>0.9</v>
      </c>
      <c r="I37" s="439">
        <f>'Założenia 2 - Dane wejściowe'!G83</f>
        <v>7.0000000000000007E-2</v>
      </c>
      <c r="J37" s="438">
        <f>'Założenia 2 - Dane wejściowe'!H83</f>
        <v>4.333E-2</v>
      </c>
      <c r="K37" s="11">
        <f>'Założenia 2 - Dane wejściowe'!I83</f>
        <v>73.33</v>
      </c>
      <c r="L37" s="441">
        <f t="shared" si="12"/>
        <v>7666.8213258137175</v>
      </c>
      <c r="M37" s="872"/>
    </row>
    <row r="38" spans="2:13" ht="14.1" thickBot="1">
      <c r="B38" s="876"/>
      <c r="C38" s="879"/>
      <c r="D38" s="107">
        <f>'Założenia 2 - Dane wejściowe'!M84*'Założenia 2 - Dane wejściowe'!$G$51</f>
        <v>2296.6961695481373</v>
      </c>
      <c r="E38" s="26" t="s">
        <v>56</v>
      </c>
      <c r="F38" s="437">
        <f>'Założenia 2 - Dane wejściowe'!D84</f>
        <v>0.5</v>
      </c>
      <c r="G38" s="440">
        <f>'Założenia 2 - Dane wejściowe'!E84</f>
        <v>10093</v>
      </c>
      <c r="H38" s="440">
        <f>'Założenia 2 - Dane wejściowe'!F84</f>
        <v>0.9</v>
      </c>
      <c r="I38" s="439">
        <f>'Założenia 2 - Dane wejściowe'!G84</f>
        <v>0.1</v>
      </c>
      <c r="J38" s="438">
        <f>'Założenia 2 - Dane wejściowe'!H84</f>
        <v>4.7309999999999998E-2</v>
      </c>
      <c r="K38" s="11">
        <f>'Założenia 2 - Dane wejściowe'!I84</f>
        <v>62.44</v>
      </c>
      <c r="L38" s="441">
        <f t="shared" si="12"/>
        <v>3081.4290713575874</v>
      </c>
      <c r="M38" s="873"/>
    </row>
    <row r="39" spans="2:13">
      <c r="B39" s="874" t="s">
        <v>59</v>
      </c>
      <c r="C39" s="877">
        <f t="shared" ref="C39" si="14">D39+D40+D41</f>
        <v>1891.7735353507019</v>
      </c>
      <c r="D39" s="107">
        <f>'Założenia 2 - Dane wejściowe'!M85*'Założenia 2 - Dane wejściowe'!$G$53</f>
        <v>515.15606789822971</v>
      </c>
      <c r="E39" s="25" t="s">
        <v>54</v>
      </c>
      <c r="F39" s="437">
        <f>'Założenia 2 - Dane wejściowe'!D85</f>
        <v>0.755</v>
      </c>
      <c r="G39" s="440">
        <f>'Założenia 2 - Dane wejściowe'!E85</f>
        <v>18776</v>
      </c>
      <c r="H39" s="440">
        <f>'Założenia 2 - Dane wejściowe'!F85</f>
        <v>0.25</v>
      </c>
      <c r="I39" s="439">
        <f>'Założenia 2 - Dane wejściowe'!G85</f>
        <v>0.32</v>
      </c>
      <c r="J39" s="438">
        <f>'Założenia 2 - Dane wejściowe'!H85</f>
        <v>4.48E-2</v>
      </c>
      <c r="K39" s="11">
        <f>'Założenia 2 - Dane wejściowe'!I85</f>
        <v>68.61</v>
      </c>
      <c r="L39" s="441">
        <f t="shared" si="12"/>
        <v>1795.7433555786652</v>
      </c>
      <c r="M39" s="871">
        <f t="shared" ref="M39" si="15">L39+L40+L41</f>
        <v>7636.1162113976106</v>
      </c>
    </row>
    <row r="40" spans="2:13">
      <c r="B40" s="875"/>
      <c r="C40" s="878"/>
      <c r="D40" s="107">
        <f>'Założenia 2 - Dane wejściowe'!M86*'Założenia 2 - Dane wejściowe'!$G$53</f>
        <v>1304.5601468905068</v>
      </c>
      <c r="E40" s="26" t="s">
        <v>55</v>
      </c>
      <c r="F40" s="437">
        <f>'Założenia 2 - Dane wejściowe'!D86</f>
        <v>0.84</v>
      </c>
      <c r="G40" s="440">
        <f>'Założenia 2 - Dane wejściowe'!E86</f>
        <v>26142</v>
      </c>
      <c r="H40" s="440">
        <f>'Założenia 2 - Dane wejściowe'!F86</f>
        <v>0.25</v>
      </c>
      <c r="I40" s="439">
        <f>'Założenia 2 - Dane wejściowe'!G86</f>
        <v>0.25</v>
      </c>
      <c r="J40" s="438">
        <f>'Założenia 2 - Dane wejściowe'!H86</f>
        <v>4.333E-2</v>
      </c>
      <c r="K40" s="11">
        <f>'Założenia 2 - Dane wejściowe'!I86</f>
        <v>73.33</v>
      </c>
      <c r="L40" s="441">
        <f t="shared" si="12"/>
        <v>5688.9562623072288</v>
      </c>
      <c r="M40" s="872"/>
    </row>
    <row r="41" spans="2:13" ht="14.1" thickBot="1">
      <c r="B41" s="876"/>
      <c r="C41" s="879"/>
      <c r="D41" s="107">
        <f>'Założenia 2 - Dane wejściowe'!M87*'Założenia 2 - Dane wejściowe'!$G$53</f>
        <v>72.057320561965327</v>
      </c>
      <c r="E41" s="26" t="s">
        <v>56</v>
      </c>
      <c r="F41" s="437">
        <f>'Założenia 2 - Dane wejściowe'!D87</f>
        <v>0.5</v>
      </c>
      <c r="G41" s="440">
        <f>'Założenia 2 - Dane wejściowe'!E87</f>
        <v>22763</v>
      </c>
      <c r="H41" s="440">
        <f>'Założenia 2 - Dane wejściowe'!F87</f>
        <v>0.25</v>
      </c>
      <c r="I41" s="439">
        <f>'Założenia 2 - Dane wejściowe'!G87</f>
        <v>0.25</v>
      </c>
      <c r="J41" s="438">
        <f>'Założenia 2 - Dane wejściowe'!H87</f>
        <v>4.7309999999999998E-2</v>
      </c>
      <c r="K41" s="11">
        <f>'Założenia 2 - Dane wejściowe'!I87</f>
        <v>62.44</v>
      </c>
      <c r="L41" s="441">
        <f t="shared" si="12"/>
        <v>151.41659351171685</v>
      </c>
      <c r="M41" s="873"/>
    </row>
    <row r="42" spans="2:13">
      <c r="B42" s="883" t="s">
        <v>60</v>
      </c>
      <c r="C42" s="877">
        <f t="shared" ref="C42" si="16">D42+D43+D44</f>
        <v>54</v>
      </c>
      <c r="D42" s="107">
        <f>'Założenia 2 - Dane wejściowe'!M88*'Założenia 2 - Dane wejściowe'!$G$55</f>
        <v>3</v>
      </c>
      <c r="E42" s="25" t="s">
        <v>54</v>
      </c>
      <c r="F42" s="437">
        <f>'Założenia 2 - Dane wejściowe'!D88</f>
        <v>0.755</v>
      </c>
      <c r="G42" s="440">
        <f>'Założenia 2 - Dane wejściowe'!E88</f>
        <v>21982</v>
      </c>
      <c r="H42" s="440">
        <f>'Założenia 2 - Dane wejściowe'!F88</f>
        <v>0.25</v>
      </c>
      <c r="I42" s="439">
        <f>'Założenia 2 - Dane wejściowe'!G88</f>
        <v>0.28000000000000003</v>
      </c>
      <c r="J42" s="438">
        <f>'Założenia 2 - Dane wejściowe'!H88</f>
        <v>4.48E-2</v>
      </c>
      <c r="K42" s="11">
        <f>'Założenia 2 - Dane wejściowe'!I88</f>
        <v>68.61</v>
      </c>
      <c r="L42" s="441">
        <f t="shared" si="12"/>
        <v>10.712698524460802</v>
      </c>
      <c r="M42" s="871">
        <f t="shared" ref="M42" si="17">L42+L43+L44</f>
        <v>259.86009455811211</v>
      </c>
    </row>
    <row r="43" spans="2:13">
      <c r="B43" s="884"/>
      <c r="C43" s="878"/>
      <c r="D43" s="107">
        <f>'Założenia 2 - Dane wejściowe'!M89*'Założenia 2 - Dane wejściowe'!$G$55</f>
        <v>51</v>
      </c>
      <c r="E43" s="26" t="s">
        <v>55</v>
      </c>
      <c r="F43" s="437">
        <f>'Założenia 2 - Dane wejściowe'!D89</f>
        <v>0.84</v>
      </c>
      <c r="G43" s="440">
        <f>'Założenia 2 - Dane wejściowe'!E89</f>
        <v>26148</v>
      </c>
      <c r="H43" s="440">
        <f>'Założenia 2 - Dane wejściowe'!F89</f>
        <v>0.25</v>
      </c>
      <c r="I43" s="439">
        <f>'Założenia 2 - Dane wejściowe'!G89</f>
        <v>0.28000000000000003</v>
      </c>
      <c r="J43" s="438">
        <f>'Założenia 2 - Dane wejściowe'!H89</f>
        <v>4.333E-2</v>
      </c>
      <c r="K43" s="11">
        <f>'Założenia 2 - Dane wejściowe'!I89</f>
        <v>73.33</v>
      </c>
      <c r="L43" s="441">
        <f t="shared" si="12"/>
        <v>249.14739603365132</v>
      </c>
      <c r="M43" s="872"/>
    </row>
    <row r="44" spans="2:13" ht="14.1" thickBot="1">
      <c r="B44" s="885"/>
      <c r="C44" s="879"/>
      <c r="D44" s="107">
        <f>'Założenia 2 - Dane wejściowe'!M90*'Założenia 2 - Dane wejściowe'!$G$55</f>
        <v>0</v>
      </c>
      <c r="E44" s="26" t="s">
        <v>56</v>
      </c>
      <c r="F44" s="437">
        <f>'Założenia 2 - Dane wejściowe'!D90</f>
        <v>0.5</v>
      </c>
      <c r="G44" s="440">
        <f>'Założenia 2 - Dane wejściowe'!E90</f>
        <v>23625</v>
      </c>
      <c r="H44" s="440">
        <f>'Założenia 2 - Dane wejściowe'!F90</f>
        <v>0.25</v>
      </c>
      <c r="I44" s="439">
        <f>'Założenia 2 - Dane wejściowe'!G90</f>
        <v>0.35</v>
      </c>
      <c r="J44" s="438">
        <f>'Założenia 2 - Dane wejściowe'!H90</f>
        <v>4.7309999999999998E-2</v>
      </c>
      <c r="K44" s="11">
        <f>'Założenia 2 - Dane wejściowe'!I90</f>
        <v>62.44</v>
      </c>
      <c r="L44" s="441">
        <f t="shared" si="12"/>
        <v>0</v>
      </c>
      <c r="M44" s="873"/>
    </row>
    <row r="45" spans="2:13">
      <c r="B45" s="874" t="s">
        <v>61</v>
      </c>
      <c r="C45" s="877">
        <f t="shared" ref="C45" si="18">D45+D46+D47</f>
        <v>139.43385477501863</v>
      </c>
      <c r="D45" s="107">
        <f>'Założenia 2 - Dane wejściowe'!M91*'Założenia 2 - Dane wejściowe'!$G$54</f>
        <v>49.35711673451987</v>
      </c>
      <c r="E45" s="25" t="s">
        <v>54</v>
      </c>
      <c r="F45" s="437">
        <f>'Założenia 2 - Dane wejściowe'!D91</f>
        <v>0.755</v>
      </c>
      <c r="G45" s="440">
        <f>'Założenia 2 - Dane wejściowe'!E91</f>
        <v>7417</v>
      </c>
      <c r="H45" s="440">
        <f>'Założenia 2 - Dane wejściowe'!F91</f>
        <v>0.95</v>
      </c>
      <c r="I45" s="439">
        <f>'Założenia 2 - Dane wejściowe'!G91</f>
        <v>0.1</v>
      </c>
      <c r="J45" s="438">
        <f>'Założenia 2 - Dane wejściowe'!H91</f>
        <v>4.48E-2</v>
      </c>
      <c r="K45" s="11">
        <f>'Założenia 2 - Dane wejściowe'!I91</f>
        <v>68.61</v>
      </c>
      <c r="L45" s="441">
        <f t="shared" si="12"/>
        <v>80.707529047915344</v>
      </c>
      <c r="M45" s="871">
        <f t="shared" ref="M45" si="19">L45+L46+L47</f>
        <v>435.80181851855724</v>
      </c>
    </row>
    <row r="46" spans="2:13">
      <c r="B46" s="875"/>
      <c r="C46" s="878"/>
      <c r="D46" s="107">
        <f>'Założenia 2 - Dane wejściowe'!M92*'Założenia 2 - Dane wejściowe'!$G$54</f>
        <v>90.076738040498768</v>
      </c>
      <c r="E46" s="26" t="s">
        <v>55</v>
      </c>
      <c r="F46" s="437">
        <f>'Założenia 2 - Dane wejściowe'!D92</f>
        <v>0.84</v>
      </c>
      <c r="G46" s="440">
        <f>'Założenia 2 - Dane wejściowe'!E92</f>
        <v>14134</v>
      </c>
      <c r="H46" s="440">
        <f>'Założenia 2 - Dane wejściowe'!F92</f>
        <v>0.95</v>
      </c>
      <c r="I46" s="439">
        <f>'Założenia 2 - Dane wejściowe'!G92</f>
        <v>0.11</v>
      </c>
      <c r="J46" s="438">
        <f>'Założenia 2 - Dane wejściowe'!H92</f>
        <v>4.333E-2</v>
      </c>
      <c r="K46" s="11">
        <f>'Założenia 2 - Dane wejściowe'!I92</f>
        <v>73.33</v>
      </c>
      <c r="L46" s="441">
        <f t="shared" si="12"/>
        <v>355.09428947064191</v>
      </c>
      <c r="M46" s="872"/>
    </row>
    <row r="47" spans="2:13" ht="14.1" thickBot="1">
      <c r="B47" s="876"/>
      <c r="C47" s="879"/>
      <c r="D47" s="107">
        <f>'Założenia 2 - Dane wejściowe'!M93*'Założenia 2 - Dane wejściowe'!$G$54</f>
        <v>0</v>
      </c>
      <c r="E47" s="26" t="s">
        <v>56</v>
      </c>
      <c r="F47" s="437">
        <f>'Założenia 2 - Dane wejściowe'!D93</f>
        <v>0.5</v>
      </c>
      <c r="G47" s="440">
        <f>'Założenia 2 - Dane wejściowe'!E93</f>
        <v>20092</v>
      </c>
      <c r="H47" s="440">
        <f>'Założenia 2 - Dane wejściowe'!F93</f>
        <v>0.95</v>
      </c>
      <c r="I47" s="439">
        <f>'Założenia 2 - Dane wejściowe'!G93</f>
        <v>0.13</v>
      </c>
      <c r="J47" s="438">
        <f>'Założenia 2 - Dane wejściowe'!H93</f>
        <v>4.7309999999999998E-2</v>
      </c>
      <c r="K47" s="11">
        <f>'Założenia 2 - Dane wejściowe'!I93</f>
        <v>62.44</v>
      </c>
      <c r="L47" s="441">
        <f t="shared" si="12"/>
        <v>0</v>
      </c>
      <c r="M47" s="873"/>
    </row>
    <row r="48" spans="2:13">
      <c r="B48" s="874" t="s">
        <v>62</v>
      </c>
      <c r="C48" s="877">
        <f t="shared" ref="C48" si="20">D48+D49+D50</f>
        <v>1075.9851448125332</v>
      </c>
      <c r="D48" s="107">
        <f>'Założenia 2 - Dane wejściowe'!M94*'Założenia 2 - Dane wejściowe'!$G$54</f>
        <v>7.4035675101779805</v>
      </c>
      <c r="E48" s="25" t="s">
        <v>54</v>
      </c>
      <c r="F48" s="437">
        <f>'Założenia 2 - Dane wejściowe'!D94</f>
        <v>0.755</v>
      </c>
      <c r="G48" s="440">
        <f>'Założenia 2 - Dane wejściowe'!E94</f>
        <v>6728</v>
      </c>
      <c r="H48" s="440">
        <f>'Założenia 2 - Dane wejściowe'!F94</f>
        <v>1</v>
      </c>
      <c r="I48" s="439">
        <f>'Założenia 2 - Dane wejściowe'!G94</f>
        <v>0.32</v>
      </c>
      <c r="J48" s="438">
        <f>'Założenia 2 - Dane wejściowe'!H94</f>
        <v>4.48E-2</v>
      </c>
      <c r="K48" s="11">
        <f>'Założenia 2 - Dane wejściowe'!I94</f>
        <v>68.61</v>
      </c>
      <c r="L48" s="441">
        <f t="shared" si="12"/>
        <v>36.990430605153129</v>
      </c>
      <c r="M48" s="871">
        <f t="shared" ref="M48" si="21">L48+L49+L50</f>
        <v>9356.7812742397437</v>
      </c>
    </row>
    <row r="49" spans="2:13">
      <c r="B49" s="875"/>
      <c r="C49" s="878"/>
      <c r="D49" s="107">
        <f>'Założenia 2 - Dane wejściowe'!M95*'Założenia 2 - Dane wejściowe'!$G$54</f>
        <v>1068.5815773023553</v>
      </c>
      <c r="E49" s="26" t="s">
        <v>55</v>
      </c>
      <c r="F49" s="437">
        <f>'Założenia 2 - Dane wejściowe'!D95</f>
        <v>0.84</v>
      </c>
      <c r="G49" s="440">
        <f>'Założenia 2 - Dane wejściowe'!E95</f>
        <v>13071</v>
      </c>
      <c r="H49" s="440">
        <f>'Założenia 2 - Dane wejściowe'!F95</f>
        <v>1</v>
      </c>
      <c r="I49" s="439">
        <f>'Założenia 2 - Dane wejściowe'!G95</f>
        <v>0.25</v>
      </c>
      <c r="J49" s="438">
        <f>'Założenia 2 - Dane wejściowe'!H95</f>
        <v>4.333E-2</v>
      </c>
      <c r="K49" s="11">
        <f>'Założenia 2 - Dane wejściowe'!I95</f>
        <v>73.33</v>
      </c>
      <c r="L49" s="441">
        <f t="shared" si="12"/>
        <v>9319.7908436345897</v>
      </c>
      <c r="M49" s="872"/>
    </row>
    <row r="50" spans="2:13" ht="14.1" thickBot="1">
      <c r="B50" s="876"/>
      <c r="C50" s="879"/>
      <c r="D50" s="107">
        <f>'Założenia 2 - Dane wejściowe'!M96*'Założenia 2 - Dane wejściowe'!$G$54</f>
        <v>0</v>
      </c>
      <c r="E50" s="26" t="s">
        <v>56</v>
      </c>
      <c r="F50" s="437">
        <f>'Założenia 2 - Dane wejściowe'!D96</f>
        <v>0.5</v>
      </c>
      <c r="G50" s="440">
        <f>'Założenia 2 - Dane wejściowe'!E96</f>
        <v>8772</v>
      </c>
      <c r="H50" s="440">
        <f>'Założenia 2 - Dane wejściowe'!F96</f>
        <v>1</v>
      </c>
      <c r="I50" s="439">
        <f>'Założenia 2 - Dane wejściowe'!G96</f>
        <v>0.18</v>
      </c>
      <c r="J50" s="438">
        <f>'Założenia 2 - Dane wejściowe'!H96</f>
        <v>4.7309999999999998E-2</v>
      </c>
      <c r="K50" s="11">
        <f>'Założenia 2 - Dane wejściowe'!I96</f>
        <v>62.44</v>
      </c>
      <c r="L50" s="441">
        <f t="shared" si="12"/>
        <v>0</v>
      </c>
      <c r="M50" s="873"/>
    </row>
    <row r="51" spans="2:13">
      <c r="B51" s="874" t="s">
        <v>63</v>
      </c>
      <c r="C51" s="877">
        <f>D51+D52+D53</f>
        <v>22320.504973618372</v>
      </c>
      <c r="D51" s="108">
        <f>D33+D36+D39+D42+D45+D48</f>
        <v>13642.939918409073</v>
      </c>
      <c r="E51" s="104" t="s">
        <v>54</v>
      </c>
      <c r="F51" s="105"/>
      <c r="G51" s="106"/>
      <c r="H51" s="106"/>
      <c r="I51" s="106"/>
      <c r="J51" s="106"/>
      <c r="K51" s="106"/>
      <c r="L51" s="442">
        <f>L33+L36+L39+L42+L45+L48</f>
        <v>14214.159390103676</v>
      </c>
      <c r="M51" s="880">
        <f>M33+M36+M39+M42+M45+M48</f>
        <v>40726.815172232804</v>
      </c>
    </row>
    <row r="52" spans="2:13">
      <c r="B52" s="875"/>
      <c r="C52" s="878"/>
      <c r="D52" s="108">
        <f t="shared" ref="D52:D53" si="22">D34+D37+D40+D43+D46+D49</f>
        <v>6308.8115650991977</v>
      </c>
      <c r="E52" s="104" t="s">
        <v>55</v>
      </c>
      <c r="F52" s="106"/>
      <c r="G52" s="106"/>
      <c r="H52" s="106"/>
      <c r="I52" s="106"/>
      <c r="J52" s="106"/>
      <c r="K52" s="106"/>
      <c r="L52" s="442">
        <f>L34+L37+L40+L43+L46+L49</f>
        <v>23279.810117259829</v>
      </c>
      <c r="M52" s="881"/>
    </row>
    <row r="53" spans="2:13">
      <c r="B53" s="876"/>
      <c r="C53" s="879"/>
      <c r="D53" s="108">
        <f t="shared" si="22"/>
        <v>2368.7534901101026</v>
      </c>
      <c r="E53" s="104" t="s">
        <v>56</v>
      </c>
      <c r="F53" s="106"/>
      <c r="G53" s="106"/>
      <c r="H53" s="106"/>
      <c r="I53" s="106"/>
      <c r="J53" s="106"/>
      <c r="K53" s="106"/>
      <c r="L53" s="442">
        <f t="shared" ref="L53" si="23">L35+L38+L41+L44+L47+L50</f>
        <v>3232.8456648693041</v>
      </c>
      <c r="M53" s="882"/>
    </row>
    <row r="54" spans="2:13" ht="38.4" customHeight="1"/>
  </sheetData>
  <mergeCells count="46">
    <mergeCell ref="B6:F6"/>
    <mergeCell ref="B7:D7"/>
    <mergeCell ref="B8:B10"/>
    <mergeCell ref="C8:C10"/>
    <mergeCell ref="M8:M10"/>
    <mergeCell ref="M11:M13"/>
    <mergeCell ref="B14:B16"/>
    <mergeCell ref="C14:C16"/>
    <mergeCell ref="M14:M16"/>
    <mergeCell ref="B17:B19"/>
    <mergeCell ref="C17:C19"/>
    <mergeCell ref="M17:M19"/>
    <mergeCell ref="B11:B13"/>
    <mergeCell ref="C11:C13"/>
    <mergeCell ref="M20:M22"/>
    <mergeCell ref="B23:B25"/>
    <mergeCell ref="C23:C25"/>
    <mergeCell ref="M23:M25"/>
    <mergeCell ref="B26:B28"/>
    <mergeCell ref="C26:C28"/>
    <mergeCell ref="M26:M28"/>
    <mergeCell ref="B20:B22"/>
    <mergeCell ref="C20:C22"/>
    <mergeCell ref="B31:F31"/>
    <mergeCell ref="B32:D32"/>
    <mergeCell ref="B33:B35"/>
    <mergeCell ref="C33:C35"/>
    <mergeCell ref="M33:M35"/>
    <mergeCell ref="M36:M38"/>
    <mergeCell ref="B39:B41"/>
    <mergeCell ref="C39:C41"/>
    <mergeCell ref="M39:M41"/>
    <mergeCell ref="B42:B44"/>
    <mergeCell ref="C42:C44"/>
    <mergeCell ref="M42:M44"/>
    <mergeCell ref="B36:B38"/>
    <mergeCell ref="C36:C38"/>
    <mergeCell ref="M45:M47"/>
    <mergeCell ref="B48:B50"/>
    <mergeCell ref="C48:C50"/>
    <mergeCell ref="M48:M50"/>
    <mergeCell ref="B51:B53"/>
    <mergeCell ref="C51:C53"/>
    <mergeCell ref="M51:M53"/>
    <mergeCell ref="B45:B47"/>
    <mergeCell ref="C45:C47"/>
  </mergeCells>
  <pageMargins left="0.7" right="0.7" top="0.75" bottom="0.75" header="0.3" footer="0.3"/>
  <pageSetup paperSize="9" scale="4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B3:P35"/>
  <sheetViews>
    <sheetView view="pageBreakPreview" topLeftCell="A7" zoomScale="80" zoomScaleNormal="80" zoomScaleSheetLayoutView="80" workbookViewId="0">
      <selection activeCell="B7" sqref="B7:I14"/>
    </sheetView>
  </sheetViews>
  <sheetFormatPr defaultRowHeight="13.8"/>
  <cols>
    <col min="1" max="1" width="3.09375" customWidth="1"/>
    <col min="2" max="2" width="12.1875" customWidth="1"/>
    <col min="3" max="3" width="14.7109375" customWidth="1"/>
    <col min="5" max="5" width="13.1875" customWidth="1"/>
    <col min="6" max="6" width="11.6171875" customWidth="1"/>
    <col min="7" max="7" width="11" customWidth="1"/>
    <col min="8" max="8" width="11.7109375" customWidth="1"/>
    <col min="9" max="9" width="14" customWidth="1"/>
    <col min="12" max="12" width="10.6171875" customWidth="1"/>
    <col min="13" max="13" width="11.7109375" customWidth="1"/>
  </cols>
  <sheetData>
    <row r="3" spans="2:16" ht="14.1" thickBot="1"/>
    <row r="4" spans="2:16" ht="14.7" thickBot="1">
      <c r="B4" s="897" t="s">
        <v>144</v>
      </c>
      <c r="C4" s="898"/>
      <c r="D4" s="898"/>
      <c r="E4" s="898"/>
      <c r="F4" s="898"/>
      <c r="G4" s="898"/>
      <c r="H4" s="898"/>
      <c r="I4" s="898"/>
      <c r="J4" s="898"/>
      <c r="K4" s="898"/>
      <c r="L4" s="898"/>
      <c r="M4" s="899"/>
    </row>
    <row r="6" spans="2:16" ht="14.1" thickBot="1"/>
    <row r="7" spans="2:16" ht="14.4" thickBot="1">
      <c r="B7" s="835">
        <v>2015</v>
      </c>
      <c r="C7" s="836"/>
      <c r="D7" s="837"/>
    </row>
    <row r="8" spans="2:16" ht="27.6">
      <c r="B8" s="56" t="s">
        <v>378</v>
      </c>
      <c r="C8" s="117" t="s">
        <v>376</v>
      </c>
      <c r="D8" s="44" t="s">
        <v>83</v>
      </c>
      <c r="E8" s="44" t="s">
        <v>145</v>
      </c>
      <c r="F8" s="44" t="s">
        <v>85</v>
      </c>
      <c r="G8" s="44" t="s">
        <v>86</v>
      </c>
      <c r="H8" s="38" t="s">
        <v>89</v>
      </c>
      <c r="I8" s="38" t="s">
        <v>90</v>
      </c>
    </row>
    <row r="9" spans="2:16" ht="69">
      <c r="B9" s="53">
        <f>'Założenia 2 - Dane wejściowe'!B110</f>
        <v>70</v>
      </c>
      <c r="C9" s="713" t="str">
        <f>'Założenia 2 - Dane wejściowe'!C110</f>
        <v>sodowa z 30 % ograniczeniem zużycia mocy w godzinach nocnych</v>
      </c>
      <c r="D9" s="472">
        <f>'Założenia 2 - Dane wejściowe'!D110</f>
        <v>956</v>
      </c>
      <c r="E9" s="32">
        <f>'Założenia 2 - Dane wejściowe'!E110</f>
        <v>4024</v>
      </c>
      <c r="F9" s="110">
        <f>B9*E9*D9*70%/1000</f>
        <v>188500.25599999999</v>
      </c>
      <c r="G9" s="110">
        <f>F9/1000</f>
        <v>188.50025600000001</v>
      </c>
      <c r="H9" s="473">
        <f>'Założenia 2 - Dane wejściowe'!$B$20</f>
        <v>0.89</v>
      </c>
      <c r="I9" s="111">
        <f>G9*H9</f>
        <v>167.76522784000002</v>
      </c>
    </row>
    <row r="10" spans="2:16" ht="69">
      <c r="B10" s="53">
        <f>'Założenia 2 - Dane wejściowe'!B111</f>
        <v>100</v>
      </c>
      <c r="C10" s="713" t="str">
        <f>'Założenia 2 - Dane wejściowe'!C111</f>
        <v>sodowe z 30 % ograniczeniem zużycia mocy w godzinach nocnych</v>
      </c>
      <c r="D10" s="472">
        <f>'Założenia 2 - Dane wejściowe'!D111</f>
        <v>590</v>
      </c>
      <c r="E10" s="32">
        <f>'Założenia 2 - Dane wejściowe'!E111</f>
        <v>4024</v>
      </c>
      <c r="F10" s="110">
        <f>B10*E10*D10*70%/1000</f>
        <v>166191.20000000001</v>
      </c>
      <c r="G10" s="110">
        <f t="shared" ref="G10:G13" si="0">F10/1000</f>
        <v>166.19120000000001</v>
      </c>
      <c r="H10" s="473">
        <f>'Założenia 2 - Dane wejściowe'!$B$20</f>
        <v>0.89</v>
      </c>
      <c r="I10" s="111">
        <f t="shared" ref="I10:I13" si="1">G10*H10</f>
        <v>147.910168</v>
      </c>
    </row>
    <row r="11" spans="2:16" ht="69">
      <c r="B11" s="53">
        <f>'Założenia 2 - Dane wejściowe'!B112</f>
        <v>150</v>
      </c>
      <c r="C11" s="713" t="str">
        <f>'Założenia 2 - Dane wejściowe'!C112</f>
        <v>sodowe z 30 % ograniczeniem zużycia mocy w godzinach nocnych</v>
      </c>
      <c r="D11" s="472">
        <f>'Założenia 2 - Dane wejściowe'!D112</f>
        <v>90</v>
      </c>
      <c r="E11" s="32">
        <f>'Założenia 2 - Dane wejściowe'!E112</f>
        <v>4024</v>
      </c>
      <c r="F11" s="110">
        <f>B11*E11*D11*70%/1000</f>
        <v>38026.800000000003</v>
      </c>
      <c r="G11" s="110">
        <f t="shared" si="0"/>
        <v>38.026800000000001</v>
      </c>
      <c r="H11" s="473">
        <f>'Założenia 2 - Dane wejściowe'!$B$20</f>
        <v>0.89</v>
      </c>
      <c r="I11" s="111">
        <f t="shared" si="1"/>
        <v>33.843852000000005</v>
      </c>
    </row>
    <row r="12" spans="2:16">
      <c r="B12" s="53">
        <f>'Założenia 2 - Dane wejściowe'!B113</f>
        <v>35</v>
      </c>
      <c r="C12" s="713" t="str">
        <f>'Założenia 2 - Dane wejściowe'!C113</f>
        <v>LED</v>
      </c>
      <c r="D12" s="472">
        <f>'Założenia 2 - Dane wejściowe'!D113</f>
        <v>67</v>
      </c>
      <c r="E12" s="32">
        <f>'Założenia 2 - Dane wejściowe'!E113</f>
        <v>4024</v>
      </c>
      <c r="F12" s="110">
        <f t="shared" ref="F12:F13" si="2">B12*E12*D12/1000</f>
        <v>9436.2800000000007</v>
      </c>
      <c r="G12" s="110">
        <f t="shared" si="0"/>
        <v>9.43628</v>
      </c>
      <c r="H12" s="473">
        <f>'Założenia 2 - Dane wejściowe'!$B$20</f>
        <v>0.89</v>
      </c>
      <c r="I12" s="111">
        <f t="shared" si="1"/>
        <v>8.3982892000000007</v>
      </c>
    </row>
    <row r="13" spans="2:16" ht="55.5" thickBot="1">
      <c r="B13" s="53">
        <f>'Założenia 2 - Dane wejściowe'!B114</f>
        <v>70</v>
      </c>
      <c r="C13" s="713" t="str">
        <f>'Założenia 2 - Dane wejściowe'!C114</f>
        <v>metalo – halogenowe – iluminacje ratusza i kościoła</v>
      </c>
      <c r="D13" s="472">
        <f>'Założenia 2 - Dane wejściowe'!D114</f>
        <v>16</v>
      </c>
      <c r="E13" s="32">
        <f>'Założenia 2 - Dane wejściowe'!E114</f>
        <v>4024</v>
      </c>
      <c r="F13" s="110">
        <f t="shared" si="2"/>
        <v>4506.88</v>
      </c>
      <c r="G13" s="110">
        <f t="shared" si="0"/>
        <v>4.5068799999999998</v>
      </c>
      <c r="H13" s="473">
        <f>'Założenia 2 - Dane wejściowe'!$B$20</f>
        <v>0.89</v>
      </c>
      <c r="I13" s="111">
        <f t="shared" si="1"/>
        <v>4.0111232000000001</v>
      </c>
    </row>
    <row r="14" spans="2:16" ht="14.4" thickBot="1">
      <c r="E14" s="6" t="s">
        <v>7</v>
      </c>
      <c r="F14" s="209">
        <f>SUM(F9:F13)</f>
        <v>406661.41600000003</v>
      </c>
      <c r="G14" s="209">
        <f t="shared" ref="G14:I14" si="3">SUM(G9:G13)</f>
        <v>406.66141600000003</v>
      </c>
      <c r="H14" s="209"/>
      <c r="I14" s="209">
        <f t="shared" si="3"/>
        <v>361.92866024000006</v>
      </c>
      <c r="M14" s="99"/>
      <c r="P14" s="99"/>
    </row>
    <row r="19" spans="2:13" ht="14.1" thickBot="1"/>
    <row r="20" spans="2:13" ht="14.7" thickBot="1">
      <c r="B20" s="897" t="s">
        <v>282</v>
      </c>
      <c r="C20" s="898"/>
      <c r="D20" s="898"/>
      <c r="E20" s="898"/>
      <c r="F20" s="898"/>
      <c r="G20" s="898"/>
      <c r="H20" s="898"/>
      <c r="I20" s="898"/>
      <c r="J20" s="898"/>
      <c r="K20" s="898"/>
      <c r="L20" s="898"/>
      <c r="M20" s="899"/>
    </row>
    <row r="22" spans="2:13" ht="14.1" thickBot="1"/>
    <row r="23" spans="2:13" ht="14.4" thickBot="1">
      <c r="B23" s="835">
        <v>2020</v>
      </c>
      <c r="C23" s="836"/>
      <c r="D23" s="837"/>
    </row>
    <row r="24" spans="2:13" ht="27.6">
      <c r="B24" s="56" t="s">
        <v>378</v>
      </c>
      <c r="C24" s="117" t="str">
        <f>C8</f>
        <v>Rodzaj oprawy</v>
      </c>
      <c r="D24" s="44" t="s">
        <v>83</v>
      </c>
      <c r="E24" s="44" t="s">
        <v>84</v>
      </c>
      <c r="F24" s="44" t="s">
        <v>85</v>
      </c>
      <c r="G24" s="44" t="s">
        <v>86</v>
      </c>
      <c r="H24" s="38" t="s">
        <v>89</v>
      </c>
      <c r="I24" s="38" t="s">
        <v>90</v>
      </c>
    </row>
    <row r="25" spans="2:13" ht="69">
      <c r="B25" s="53">
        <f>B9</f>
        <v>70</v>
      </c>
      <c r="C25" s="713" t="str">
        <f>C9</f>
        <v>sodowa z 30 % ograniczeniem zużycia mocy w godzinach nocnych</v>
      </c>
      <c r="D25" s="472">
        <f>D9</f>
        <v>956</v>
      </c>
      <c r="E25" s="32">
        <f>'Założenia 2 - Dane wejściowe'!E110</f>
        <v>4024</v>
      </c>
      <c r="F25" s="110">
        <f>B25*E25*D25*70%/1000</f>
        <v>188500.25599999999</v>
      </c>
      <c r="G25" s="110">
        <f>F25/1000</f>
        <v>188.50025600000001</v>
      </c>
      <c r="H25" s="473">
        <f>'Założenia 2 - Dane wejściowe'!$B$20</f>
        <v>0.89</v>
      </c>
      <c r="I25" s="111">
        <f>G25*H25</f>
        <v>167.76522784000002</v>
      </c>
    </row>
    <row r="26" spans="2:13" ht="69">
      <c r="B26" s="53">
        <f t="shared" ref="B26:D29" si="4">B10</f>
        <v>100</v>
      </c>
      <c r="C26" s="713" t="str">
        <f t="shared" si="4"/>
        <v>sodowe z 30 % ograniczeniem zużycia mocy w godzinach nocnych</v>
      </c>
      <c r="D26" s="472">
        <f t="shared" si="4"/>
        <v>590</v>
      </c>
      <c r="E26" s="32">
        <f>'Założenia 2 - Dane wejściowe'!E111</f>
        <v>4024</v>
      </c>
      <c r="F26" s="110">
        <f>B26*E26*D26*70%/1000</f>
        <v>166191.20000000001</v>
      </c>
      <c r="G26" s="110">
        <f t="shared" ref="G26:G29" si="5">F26/1000</f>
        <v>166.19120000000001</v>
      </c>
      <c r="H26" s="473">
        <f>'Założenia 2 - Dane wejściowe'!$B$20</f>
        <v>0.89</v>
      </c>
      <c r="I26" s="111">
        <f t="shared" ref="I26:I29" si="6">G26*H26</f>
        <v>147.910168</v>
      </c>
    </row>
    <row r="27" spans="2:13" ht="69">
      <c r="B27" s="53">
        <f t="shared" si="4"/>
        <v>150</v>
      </c>
      <c r="C27" s="713" t="str">
        <f t="shared" si="4"/>
        <v>sodowe z 30 % ograniczeniem zużycia mocy w godzinach nocnych</v>
      </c>
      <c r="D27" s="472">
        <f t="shared" si="4"/>
        <v>90</v>
      </c>
      <c r="E27" s="32">
        <f>'Założenia 2 - Dane wejściowe'!E112</f>
        <v>4024</v>
      </c>
      <c r="F27" s="110">
        <f>B27*E27*D27*70%/1000</f>
        <v>38026.800000000003</v>
      </c>
      <c r="G27" s="110">
        <f t="shared" si="5"/>
        <v>38.026800000000001</v>
      </c>
      <c r="H27" s="473">
        <f>'Założenia 2 - Dane wejściowe'!$B$20</f>
        <v>0.89</v>
      </c>
      <c r="I27" s="111">
        <f t="shared" si="6"/>
        <v>33.843852000000005</v>
      </c>
    </row>
    <row r="28" spans="2:13">
      <c r="B28" s="53">
        <f t="shared" si="4"/>
        <v>35</v>
      </c>
      <c r="C28" s="713" t="str">
        <f t="shared" si="4"/>
        <v>LED</v>
      </c>
      <c r="D28" s="472">
        <f t="shared" si="4"/>
        <v>67</v>
      </c>
      <c r="E28" s="32">
        <f>'Założenia 2 - Dane wejściowe'!E113</f>
        <v>4024</v>
      </c>
      <c r="F28" s="110">
        <f t="shared" ref="F28:F29" si="7">B28*E28*D28/1000</f>
        <v>9436.2800000000007</v>
      </c>
      <c r="G28" s="110">
        <f t="shared" si="5"/>
        <v>9.43628</v>
      </c>
      <c r="H28" s="473">
        <f>'Założenia 2 - Dane wejściowe'!$B$20</f>
        <v>0.89</v>
      </c>
      <c r="I28" s="111">
        <f t="shared" si="6"/>
        <v>8.3982892000000007</v>
      </c>
    </row>
    <row r="29" spans="2:13" ht="55.5" thickBot="1">
      <c r="B29" s="53">
        <f t="shared" si="4"/>
        <v>70</v>
      </c>
      <c r="C29" s="713" t="str">
        <f t="shared" si="4"/>
        <v>metalo – halogenowe – iluminacje ratusza i kościoła</v>
      </c>
      <c r="D29" s="472">
        <f t="shared" si="4"/>
        <v>16</v>
      </c>
      <c r="E29" s="32">
        <f>'Założenia 2 - Dane wejściowe'!E114</f>
        <v>4024</v>
      </c>
      <c r="F29" s="110">
        <f t="shared" si="7"/>
        <v>4506.88</v>
      </c>
      <c r="G29" s="110">
        <f t="shared" si="5"/>
        <v>4.5068799999999998</v>
      </c>
      <c r="H29" s="473">
        <f>'Założenia 2 - Dane wejściowe'!$B$20</f>
        <v>0.89</v>
      </c>
      <c r="I29" s="111">
        <f t="shared" si="6"/>
        <v>4.0111232000000001</v>
      </c>
    </row>
    <row r="30" spans="2:13" ht="14.7" thickBot="1">
      <c r="E30" s="6" t="s">
        <v>7</v>
      </c>
      <c r="F30" s="559">
        <f>SUM(F25:F29)</f>
        <v>406661.41600000003</v>
      </c>
      <c r="G30" s="559">
        <f>SUM(G25:G29)</f>
        <v>406.66141600000003</v>
      </c>
      <c r="H30" s="559"/>
      <c r="I30" s="559">
        <f>SUM(I25:I29)</f>
        <v>361.92866024000006</v>
      </c>
    </row>
    <row r="32" spans="2:13" ht="14.1" thickBot="1"/>
    <row r="33" spans="8:9" ht="15">
      <c r="H33" s="147" t="s">
        <v>139</v>
      </c>
      <c r="I33" s="57" t="s">
        <v>91</v>
      </c>
    </row>
    <row r="34" spans="8:9" ht="14.4">
      <c r="H34" s="58">
        <v>2015</v>
      </c>
      <c r="I34" s="81">
        <f>I14</f>
        <v>361.92866024000006</v>
      </c>
    </row>
    <row r="35" spans="8:9" ht="14.7" thickBot="1">
      <c r="H35" s="59">
        <v>2020</v>
      </c>
      <c r="I35" s="84">
        <f>I30</f>
        <v>361.92866024000006</v>
      </c>
    </row>
  </sheetData>
  <mergeCells count="4">
    <mergeCell ref="B23:D23"/>
    <mergeCell ref="B7:D7"/>
    <mergeCell ref="B4:M4"/>
    <mergeCell ref="B20:M20"/>
  </mergeCells>
  <pageMargins left="0.7" right="0.7" top="0.75" bottom="0.75" header="0.3" footer="0.3"/>
  <pageSetup paperSize="9" scale="51" orientation="portrait" horizontalDpi="4294967295" verticalDpi="4294967295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B1:I69"/>
  <sheetViews>
    <sheetView view="pageBreakPreview" zoomScale="80" zoomScaleNormal="70" zoomScaleSheetLayoutView="80" workbookViewId="0">
      <selection activeCell="C10" sqref="C10"/>
    </sheetView>
  </sheetViews>
  <sheetFormatPr defaultRowHeight="13.8"/>
  <cols>
    <col min="2" max="2" width="12.7109375" customWidth="1"/>
    <col min="3" max="3" width="28.28515625" customWidth="1"/>
    <col min="4" max="4" width="14.90234375" customWidth="1"/>
    <col min="5" max="5" width="15.6171875" customWidth="1"/>
    <col min="6" max="6" width="19" customWidth="1"/>
    <col min="7" max="7" width="17.90234375" customWidth="1"/>
    <col min="9" max="9" width="20.37890625" customWidth="1"/>
  </cols>
  <sheetData>
    <row r="1" spans="2:9" ht="14.1" thickBot="1"/>
    <row r="2" spans="2:9" ht="14.1" thickBot="1">
      <c r="B2" s="50" t="s">
        <v>82</v>
      </c>
      <c r="C2" s="51"/>
      <c r="D2" s="51"/>
      <c r="E2" s="51"/>
      <c r="F2" s="52"/>
    </row>
    <row r="3" spans="2:9" ht="14.1" thickBot="1"/>
    <row r="4" spans="2:9" ht="41.4" customHeight="1" thickBot="1">
      <c r="B4" s="154" t="s">
        <v>78</v>
      </c>
      <c r="C4" s="155" t="s">
        <v>79</v>
      </c>
      <c r="D4" s="156" t="s">
        <v>146</v>
      </c>
      <c r="E4" s="155" t="s">
        <v>80</v>
      </c>
      <c r="F4" s="157" t="s">
        <v>81</v>
      </c>
      <c r="G4" s="1"/>
    </row>
    <row r="5" spans="2:9" ht="43.8" customHeight="1" thickBot="1">
      <c r="B5" s="159">
        <v>1</v>
      </c>
      <c r="C5" s="623" t="str">
        <f>'Założenia 2 - Dane wejściowe'!C125</f>
        <v>Urząd Miejski u Rynek 45 w Szprotawie</v>
      </c>
      <c r="D5" s="167">
        <f>'Założenia 2 - Dane wejściowe'!D125</f>
        <v>73.91</v>
      </c>
      <c r="E5" s="167" t="str">
        <f>'Założenia 2 - Dane wejściowe'!E125</f>
        <v>gaz</v>
      </c>
      <c r="F5" s="660">
        <f>IF(E5=$I$5,PRODUCT('Założenia 2 - Dane wejściowe'!F125*'Założenia 2 - Dane wejściowe'!$F$36),IF('Obiekty publiczne'!E5='Obiekty publiczne'!$I$6,PRODUCT('Założenia 2 - Dane wejściowe'!$G$36*'Założenia 2 - Dane wejściowe'!F125,0)))</f>
        <v>671.97949999999992</v>
      </c>
      <c r="G5" s="1"/>
      <c r="I5" t="s">
        <v>34</v>
      </c>
    </row>
    <row r="6" spans="2:9" ht="29.1" thickBot="1">
      <c r="B6" s="161">
        <v>2</v>
      </c>
      <c r="C6" s="160" t="str">
        <f>'Założenia 2 - Dane wejściowe'!C126</f>
        <v>Stadion w Szprotawie, ul. Sobieskiego 68 w Szprotawie Nr tel. 68 376 13 70</v>
      </c>
      <c r="D6" s="167">
        <f>'Założenia 2 - Dane wejściowe'!D126</f>
        <v>0.25</v>
      </c>
      <c r="E6" s="167" t="str">
        <f>'Założenia 2 - Dane wejściowe'!E126</f>
        <v>gaz</v>
      </c>
      <c r="F6" s="660">
        <f>IF(E6=$I$5,PRODUCT('Założenia 2 - Dane wejściowe'!F126*'Założenia 2 - Dane wejściowe'!$F$36),IF('Obiekty publiczne'!E6='Obiekty publiczne'!$I$6,PRODUCT('Założenia 2 - Dane wejściowe'!$G$36*'Założenia 2 - Dane wejściowe'!F126,0)))</f>
        <v>71</v>
      </c>
      <c r="G6" s="1"/>
      <c r="I6" t="s">
        <v>286</v>
      </c>
    </row>
    <row r="7" spans="2:9" ht="43.5" thickBot="1">
      <c r="B7" s="159">
        <v>3</v>
      </c>
      <c r="C7" s="160" t="str">
        <f>'Założenia 2 - Dane wejściowe'!C127</f>
        <v>Stadion w Lesznie Górnym, ul. Bolesławiecka, 67 – 321 Leszno Górne Nr tel. 68 376 13 70</v>
      </c>
      <c r="D7" s="167">
        <f>'Założenia 2 - Dane wejściowe'!D127</f>
        <v>0.1</v>
      </c>
      <c r="E7" s="167" t="s">
        <v>286</v>
      </c>
      <c r="F7" s="660">
        <f>'Założenia 2 - Dane wejściowe'!F127*'Założenia 2 - Dane wejściowe'!$G$36</f>
        <v>60</v>
      </c>
      <c r="G7" s="1"/>
      <c r="I7" t="s">
        <v>398</v>
      </c>
    </row>
    <row r="8" spans="2:9" ht="57.9" thickBot="1">
      <c r="B8" s="161">
        <v>4</v>
      </c>
      <c r="C8" s="160" t="str">
        <f>'Założenia 2 - Dane wejściowe'!C128</f>
        <v>Szkoła Podstawowa w Wiechlicach, Szkoła Filialna w Długiem, Długie 79, 67-312 Niegosławice, nr tel. 68 376 80 15</v>
      </c>
      <c r="D8" s="167">
        <f>'Założenia 2 - Dane wejściowe'!D128</f>
        <v>37.22</v>
      </c>
      <c r="E8" s="167" t="str">
        <f>'Założenia 2 - Dane wejściowe'!E128</f>
        <v>węgiel</v>
      </c>
      <c r="F8" s="660">
        <f>'Założenia 2 - Dane wejściowe'!F128*'Założenia 2 - Dane wejściowe'!$G$36</f>
        <v>1392</v>
      </c>
      <c r="G8" s="1"/>
      <c r="I8" t="s">
        <v>574</v>
      </c>
    </row>
    <row r="9" spans="2:9" ht="29.1" thickBot="1">
      <c r="B9" s="159">
        <v>5</v>
      </c>
      <c r="C9" s="160" t="str">
        <f>'Założenia 2 - Dane wejściowe'!C129</f>
        <v>OPS, ul. Krasińskiego 23, 67 – 300 Szprotawa, nr tel. 68 376 32 30</v>
      </c>
      <c r="D9" s="167">
        <f>'Założenia 2 - Dane wejściowe'!D129</f>
        <v>1.45</v>
      </c>
      <c r="E9" s="167" t="str">
        <f>'Założenia 2 - Dane wejściowe'!E129</f>
        <v>gaz</v>
      </c>
      <c r="F9" s="660">
        <f>IF(E9=$I$5,PRODUCT('Założenia 2 - Dane wejściowe'!F129*'Założenia 2 - Dane wejściowe'!$F$36),IF('Obiekty publiczne'!E9='Obiekty publiczne'!$I$6,PRODUCT('Założenia 2 - Dane wejściowe'!$G$36*'Założenia 2 - Dane wejściowe'!F129,0)))</f>
        <v>53.249999999999993</v>
      </c>
      <c r="G9" s="1"/>
    </row>
    <row r="10" spans="2:9" ht="43.5" thickBot="1">
      <c r="B10" s="161">
        <v>6</v>
      </c>
      <c r="C10" s="160" t="str">
        <f>'Założenia 2 - Dane wejściowe'!C130</f>
        <v xml:space="preserve">Szkoła Podstawowa w Wiechlicach, Szkoła Filialna w Siecieborzycach, Siecieborzyce 49A, 67-320 Małomice </v>
      </c>
      <c r="D10" s="167">
        <f>'Założenia 2 - Dane wejściowe'!D130</f>
        <v>31.5</v>
      </c>
      <c r="E10" s="167" t="str">
        <f>'Założenia 2 - Dane wejściowe'!E130</f>
        <v>węgiel</v>
      </c>
      <c r="F10" s="660">
        <f>'Założenia 2 - Dane wejściowe'!F130*'Założenia 2 - Dane wejściowe'!$G$36</f>
        <v>1000.08</v>
      </c>
      <c r="G10" s="1"/>
    </row>
    <row r="11" spans="2:9" ht="43.5" thickBot="1">
      <c r="B11" s="159">
        <v>7</v>
      </c>
      <c r="C11" s="160" t="str">
        <f>'Założenia 2 - Dane wejściowe'!C131</f>
        <v>Szkoła Podstawowa nr 2 w Szprotawie , ul. Sobieskiego 58, 67–300 Szprotawanr tel. 6 8 376  59 07,</v>
      </c>
      <c r="D11" s="167">
        <f>'Założenia 2 - Dane wejściowe'!D131</f>
        <v>29.88</v>
      </c>
      <c r="E11" s="167" t="str">
        <f>'Założenia 2 - Dane wejściowe'!E131</f>
        <v>gaz</v>
      </c>
      <c r="F11" s="660">
        <f>IF(E11=$I$5,PRODUCT('Założenia 2 - Dane wejściowe'!F131*'Założenia 2 - Dane wejściowe'!$F$36),IF('Obiekty publiczne'!E11='Obiekty publiczne'!$I$6,PRODUCT('Założenia 2 - Dane wejściowe'!$G$36*'Założenia 2 - Dane wejściowe'!F131,0)))</f>
        <v>1430.011</v>
      </c>
      <c r="G11" s="1"/>
    </row>
    <row r="12" spans="2:9" ht="29.1" thickBot="1">
      <c r="B12" s="161">
        <v>8</v>
      </c>
      <c r="C12" s="160" t="str">
        <f>'Założenia 2 - Dane wejściowe'!C132</f>
        <v xml:space="preserve">Szkoła Podstawowa nr 1 ul. Krasińskiego 7 w Szprotawie </v>
      </c>
      <c r="D12" s="167">
        <f>'Założenia 2 - Dane wejściowe'!D132</f>
        <v>11.84</v>
      </c>
      <c r="E12" s="167" t="str">
        <f>'Założenia 2 - Dane wejściowe'!E132</f>
        <v>gaz</v>
      </c>
      <c r="F12" s="660">
        <f>IF(E12=$I$5,PRODUCT('Założenia 2 - Dane wejściowe'!F132*'Założenia 2 - Dane wejściowe'!$F$36),IF('Obiekty publiczne'!E12='Obiekty publiczne'!$I$6,PRODUCT('Założenia 2 - Dane wejściowe'!$G$36*'Założenia 2 - Dane wejściowe'!F132,0)))</f>
        <v>500.97599999999994</v>
      </c>
      <c r="G12" s="1"/>
    </row>
    <row r="13" spans="2:9" ht="29.1" thickBot="1">
      <c r="B13" s="159">
        <v>9</v>
      </c>
      <c r="C13" s="160" t="str">
        <f>'Założenia 2 - Dane wejściowe'!C133</f>
        <v>Szkoła Podstawowa nr 1 ul. Kopernika 22 w Szprotawie, tel. 68 376 24 02</v>
      </c>
      <c r="D13" s="167">
        <f>'Założenia 2 - Dane wejściowe'!D133</f>
        <v>53.82</v>
      </c>
      <c r="E13" s="167" t="str">
        <f>'Założenia 2 - Dane wejściowe'!E133</f>
        <v>gaz</v>
      </c>
      <c r="F13" s="660">
        <f>IF(E13=$I$5,PRODUCT('Założenia 2 - Dane wejściowe'!F133*'Założenia 2 - Dane wejściowe'!$F$36),IF('Obiekty publiczne'!E13='Obiekty publiczne'!$I$6,PRODUCT('Założenia 2 - Dane wejściowe'!$G$36*'Założenia 2 - Dane wejściowe'!F133,0)))</f>
        <v>1474.4569999999999</v>
      </c>
      <c r="G13" s="1"/>
    </row>
    <row r="14" spans="2:9" ht="29.1" thickBot="1">
      <c r="B14" s="161">
        <v>10</v>
      </c>
      <c r="C14" s="160" t="str">
        <f>'Założenia 2 - Dane wejściowe'!C134</f>
        <v>Szkoła Podstawowa nr 1 w Szprotawie, Pl. Kościelny 3</v>
      </c>
      <c r="D14" s="167">
        <f>'Założenia 2 - Dane wejściowe'!D134</f>
        <v>17.239999999999998</v>
      </c>
      <c r="E14" s="167" t="str">
        <f>'Założenia 2 - Dane wejściowe'!E134</f>
        <v>gaz</v>
      </c>
      <c r="F14" s="660">
        <f>IF(E14=$I$5,PRODUCT('Założenia 2 - Dane wejściowe'!F134*'Założenia 2 - Dane wejściowe'!$F$36),IF('Obiekty publiczne'!E14='Obiekty publiczne'!$I$6,PRODUCT('Założenia 2 - Dane wejściowe'!$G$36*'Założenia 2 - Dane wejściowe'!F134,0)))</f>
        <v>697.75249999999994</v>
      </c>
      <c r="G14" s="1"/>
    </row>
    <row r="15" spans="2:9" ht="29.1" thickBot="1">
      <c r="B15" s="159">
        <v>11</v>
      </c>
      <c r="C15" s="160" t="str">
        <f>'Założenia 2 - Dane wejściowe'!C135</f>
        <v>Zespół Szkół Nr 1  w Szprotawie  ul. Sienkiewicza 2</v>
      </c>
      <c r="D15" s="167">
        <f>'Założenia 2 - Dane wejściowe'!D135</f>
        <v>6.55</v>
      </c>
      <c r="E15" s="167" t="str">
        <f>'Założenia 2 - Dane wejściowe'!E135</f>
        <v>gaz</v>
      </c>
      <c r="F15" s="660">
        <f>IF(E15=$I$5,PRODUCT('Założenia 2 - Dane wejściowe'!F135*'Założenia 2 - Dane wejściowe'!$F$36),IF('Obiekty publiczne'!E15='Obiekty publiczne'!$I$6,PRODUCT('Założenia 2 - Dane wejściowe'!$G$36*'Założenia 2 - Dane wejściowe'!F135,0)))</f>
        <v>330.39849999999996</v>
      </c>
      <c r="G15" s="1"/>
    </row>
    <row r="16" spans="2:9" ht="57.6" customHeight="1" thickBot="1">
      <c r="B16" s="161">
        <v>12</v>
      </c>
      <c r="C16" s="160" t="str">
        <f>'Założenia 2 - Dane wejściowe'!C136</f>
        <v>Przedszkole Nr 2 ul. Parkowa 4, 67 – 300 Szprotawa nr tel. 68 376 26 91</v>
      </c>
      <c r="D16" s="167">
        <f>'Założenia 2 - Dane wejściowe'!D136</f>
        <v>15.79</v>
      </c>
      <c r="E16" s="167" t="str">
        <f>'Założenia 2 - Dane wejściowe'!E136</f>
        <v>gaz</v>
      </c>
      <c r="F16" s="660">
        <f>IF(E16=$I$5,PRODUCT('Założenia 2 - Dane wejściowe'!F136*'Założenia 2 - Dane wejściowe'!$F$36),IF('Obiekty publiczne'!E16='Obiekty publiczne'!$I$6,PRODUCT('Założenia 2 - Dane wejściowe'!$G$36*'Założenia 2 - Dane wejściowe'!F136,0)))</f>
        <v>355.07099999999997</v>
      </c>
      <c r="G16" s="1"/>
    </row>
    <row r="17" spans="2:7" ht="29.1" thickBot="1">
      <c r="B17" s="159">
        <v>13</v>
      </c>
      <c r="C17" s="160" t="str">
        <f>'Założenia 2 - Dane wejściowe'!C137</f>
        <v>Przedszkole Nr 1 ul. Rolna 1, 67 – 300 Szprotawa nr tel. 68 376 33 04</v>
      </c>
      <c r="D17" s="167">
        <f>'Założenia 2 - Dane wejściowe'!D137</f>
        <v>13.08</v>
      </c>
      <c r="E17" s="167" t="str">
        <f>'Założenia 2 - Dane wejściowe'!E137</f>
        <v>gaz</v>
      </c>
      <c r="F17" s="660">
        <f>IF(E17=$I$5,PRODUCT('Założenia 2 - Dane wejściowe'!F137*'Założenia 2 - Dane wejściowe'!$F$36),IF('Obiekty publiczne'!E17='Obiekty publiczne'!$I$6,PRODUCT('Założenia 2 - Dane wejściowe'!$G$36*'Założenia 2 - Dane wejściowe'!F137,0)))</f>
        <v>348.78749999999997</v>
      </c>
      <c r="G17" s="1"/>
    </row>
    <row r="18" spans="2:7" ht="29.1" thickBot="1">
      <c r="B18" s="161">
        <v>14</v>
      </c>
      <c r="C18" s="160" t="str">
        <f>'Założenia 2 - Dane wejściowe'!C138</f>
        <v>Szkoły Podstawowej w Wiechlicach, ul. Brzozowa 17, nr tel. 68 376 75 53</v>
      </c>
      <c r="D18" s="167">
        <f>'Założenia 2 - Dane wejściowe'!D138</f>
        <v>17</v>
      </c>
      <c r="E18" s="167" t="str">
        <f>'Założenia 2 - Dane wejściowe'!E138</f>
        <v>gaz</v>
      </c>
      <c r="F18" s="660">
        <f>IF(E18=$I$5,PRODUCT('Założenia 2 - Dane wejściowe'!F138*'Założenia 2 - Dane wejściowe'!$F$36),IF('Obiekty publiczne'!E18='Obiekty publiczne'!$I$6,PRODUCT('Założenia 2 - Dane wejściowe'!$G$36*'Założenia 2 - Dane wejściowe'!F138,0)))</f>
        <v>658.66699999999992</v>
      </c>
      <c r="G18" s="1"/>
    </row>
    <row r="19" spans="2:7" ht="56.4" customHeight="1" thickBot="1">
      <c r="B19" s="159">
        <v>15</v>
      </c>
      <c r="C19" s="160" t="str">
        <f>'Założenia 2 - Dane wejściowe'!C139</f>
        <v>Szkoła Podstawowa w Wiechlicach, Szkoła Filialna Leszno Górne, ul. Szkolna 2a, 67-321 Leszno Górne, nr tel. 68 376 65 07</v>
      </c>
      <c r="D19" s="167">
        <f>'Założenia 2 - Dane wejściowe'!D139</f>
        <v>27.16</v>
      </c>
      <c r="E19" s="167" t="str">
        <f>'Założenia 2 - Dane wejściowe'!E139</f>
        <v>węgiel</v>
      </c>
      <c r="F19" s="660">
        <f>'Założenia 2 - Dane wejściowe'!F139*'Założenia 2 - Dane wejściowe'!$G$36</f>
        <v>883.19999999999993</v>
      </c>
      <c r="G19" s="1"/>
    </row>
    <row r="20" spans="2:7" ht="29.1" thickBot="1">
      <c r="B20" s="161">
        <v>16</v>
      </c>
      <c r="C20" s="160" t="str">
        <f>'Założenia 2 - Dane wejściowe'!C140</f>
        <v>Dom Kultury, ul. Mickiewicza 1, 67 – 300 Szprotawa nr tel. 68 376 24 01</v>
      </c>
      <c r="D20" s="167">
        <f>'Założenia 2 - Dane wejściowe'!D140</f>
        <v>53.99</v>
      </c>
      <c r="E20" s="167" t="str">
        <f>'Założenia 2 - Dane wejściowe'!E140</f>
        <v>gaz</v>
      </c>
      <c r="F20" s="660">
        <f>IF(E20=$I$5,PRODUCT('Założenia 2 - Dane wejściowe'!F140*'Założenia 2 - Dane wejściowe'!$F$36),IF('Obiekty publiczne'!E20='Obiekty publiczne'!$I$6,PRODUCT('Założenia 2 - Dane wejściowe'!$G$36*'Założenia 2 - Dane wejściowe'!F140,0)))</f>
        <v>438.14099999999996</v>
      </c>
      <c r="G20" s="1"/>
    </row>
    <row r="21" spans="2:7" ht="43.5" thickBot="1">
      <c r="B21" s="159">
        <v>17</v>
      </c>
      <c r="C21" s="160" t="str">
        <f>'Założenia 2 - Dane wejściowe'!C141</f>
        <v>Szprotawskie Wodociągi i Kanalizacja, ul. Chrobrego 1, 67 – 300 Szprotawa, nr tel. 68 376 25 26</v>
      </c>
      <c r="D21" s="167">
        <f>'Założenia 2 - Dane wejściowe'!D141</f>
        <v>86.12</v>
      </c>
      <c r="E21" s="167" t="str">
        <f>'Założenia 2 - Dane wejściowe'!E141</f>
        <v>gaz</v>
      </c>
      <c r="F21" s="660">
        <f>IF(E21=$I$5,PRODUCT('Założenia 2 - Dane wejściowe'!F141*'Założenia 2 - Dane wejściowe'!$F$36),IF('Obiekty publiczne'!E21='Obiekty publiczne'!$I$6,PRODUCT('Założenia 2 - Dane wejściowe'!$G$36*'Założenia 2 - Dane wejściowe'!F141,0)))</f>
        <v>1265.7169999999999</v>
      </c>
      <c r="G21" s="1"/>
    </row>
    <row r="22" spans="2:7" ht="57.9" thickBot="1">
      <c r="B22" s="161">
        <v>18</v>
      </c>
      <c r="C22" s="160" t="str">
        <f>'Założenia 2 - Dane wejściowe'!C142</f>
        <v>Szprotawski Zarząd Nieruchomościami „Chrobry” Sp. z o.o. ul. Chrobrego 15, 67 – 300 Szprotawa, nr tel. 68 376 33 56</v>
      </c>
      <c r="D22" s="167">
        <f>'Założenia 2 - Dane wejściowe'!D142</f>
        <v>9.2200000000000006</v>
      </c>
      <c r="E22" s="167" t="str">
        <f>'Założenia 2 - Dane wejściowe'!E142</f>
        <v>węgiel</v>
      </c>
      <c r="F22" s="660">
        <f>'Założenia 2 - Dane wejściowe'!F142*'Założenia 2 - Dane wejściowe'!$G$36</f>
        <v>160.80000000000001</v>
      </c>
      <c r="G22" s="1"/>
    </row>
    <row r="23" spans="2:7" ht="43.5" thickBot="1">
      <c r="B23" s="159">
        <v>19</v>
      </c>
      <c r="C23" s="160" t="str">
        <f>'Założenia 2 - Dane wejściowe'!C143</f>
        <v>Zespół Szkół Ponadgimnazjalnych im. Bolesława Chrobrego ul. Niepodległości 7, 67 – 300 Szprotawa</v>
      </c>
      <c r="D23" s="167">
        <f>'Założenia 2 - Dane wejściowe'!D143</f>
        <v>34.549999999999997</v>
      </c>
      <c r="E23" s="167" t="str">
        <f>'Założenia 2 - Dane wejściowe'!E143</f>
        <v>gaz</v>
      </c>
      <c r="F23" s="660">
        <f>IF(E23=$I$5,PRODUCT('Założenia 2 - Dane wejściowe'!F143*'Założenia 2 - Dane wejściowe'!$F$36),IF('Obiekty publiczne'!E23='Obiekty publiczne'!$I$6,PRODUCT('Założenia 2 - Dane wejściowe'!$G$36*'Założenia 2 - Dane wejściowe'!F143,0)))</f>
        <v>1258.2619999999999</v>
      </c>
      <c r="G23" s="1"/>
    </row>
    <row r="24" spans="2:7" ht="43.5" thickBot="1">
      <c r="B24" s="161">
        <v>20</v>
      </c>
      <c r="C24" s="160" t="str">
        <f>'Założenia 2 - Dane wejściowe'!C144</f>
        <v xml:space="preserve">Zespół Szkół Centrum Kształcenia Rolniczego, ul. Henrykowska 54 , 67-300 Szprotawa                          </v>
      </c>
      <c r="D24" s="167">
        <f>'Założenia 2 - Dane wejściowe'!D144</f>
        <v>23.11</v>
      </c>
      <c r="E24" s="167" t="str">
        <f>'Założenia 2 - Dane wejściowe'!E144</f>
        <v>gaz</v>
      </c>
      <c r="F24" s="660">
        <f>IF(E24=$I$5,PRODUCT('Założenia 2 - Dane wejściowe'!F144*'Założenia 2 - Dane wejściowe'!$F$36),IF('Obiekty publiczne'!E24='Obiekty publiczne'!$I$6,PRODUCT('Założenia 2 - Dane wejściowe'!$G$36*'Założenia 2 - Dane wejściowe'!F144,0)))</f>
        <v>942.66699999999992</v>
      </c>
      <c r="G24" s="1"/>
    </row>
    <row r="25" spans="2:7" ht="43.5" thickBot="1">
      <c r="B25" s="159">
        <v>21</v>
      </c>
      <c r="C25" s="160" t="str">
        <f>'Założenia 2 - Dane wejściowe'!C145</f>
        <v xml:space="preserve">Państwowa Szkoła Muzyczna I-stopnia w Szprotawie ul. Konopnickiej 4 67-300 Szprotawa </v>
      </c>
      <c r="D25" s="167" t="str">
        <f>'Założenia 2 - Dane wejściowe'!D145</f>
        <v>28.66</v>
      </c>
      <c r="E25" s="167" t="str">
        <f>'Założenia 2 - Dane wejściowe'!E145</f>
        <v>gaz</v>
      </c>
      <c r="F25" s="660">
        <f>IF(E25=$I$5,PRODUCT('Założenia 2 - Dane wejściowe'!F145*'Założenia 2 - Dane wejściowe'!$F$36),IF('Obiekty publiczne'!E25='Obiekty publiczne'!$I$6,PRODUCT('Założenia 2 - Dane wejściowe'!$G$36*'Założenia 2 - Dane wejściowe'!F145,0)))</f>
        <v>1345.0594999999998</v>
      </c>
      <c r="G25" s="1"/>
    </row>
    <row r="26" spans="2:7" ht="43.5" thickBot="1">
      <c r="B26" s="161">
        <v>22</v>
      </c>
      <c r="C26" s="160" t="str">
        <f>'Założenia 2 - Dane wejściowe'!C146</f>
        <v>Zespół Szkół Zawodowych im. S. Staszica, ul. Koszarowa 10, 67 – 300 Szprotawa</v>
      </c>
      <c r="D26" s="167">
        <f>'Założenia 2 - Dane wejściowe'!D146</f>
        <v>34.56</v>
      </c>
      <c r="E26" s="167" t="str">
        <f>'Założenia 2 - Dane wejściowe'!E146</f>
        <v>gaz</v>
      </c>
      <c r="F26" s="660">
        <f>IF(E26=$I$5,PRODUCT('Założenia 2 - Dane wejściowe'!F146*'Założenia 2 - Dane wejściowe'!$F$36),IF('Obiekty publiczne'!E26='Obiekty publiczne'!$I$6,PRODUCT('Założenia 2 - Dane wejściowe'!$G$36*'Założenia 2 - Dane wejściowe'!F146,0)))</f>
        <v>1940.6074999999998</v>
      </c>
      <c r="G26" s="1"/>
    </row>
    <row r="27" spans="2:7" ht="29.1" thickBot="1">
      <c r="B27" s="159">
        <v>23</v>
      </c>
      <c r="C27" s="160" t="str">
        <f>'Założenia 2 - Dane wejściowe'!C147</f>
        <v>Miejska Biblioteka Publiczna w Szprotawie</v>
      </c>
      <c r="D27" s="167">
        <f>'Założenia 2 - Dane wejściowe'!D147</f>
        <v>2.0449999999999999</v>
      </c>
      <c r="E27" s="167" t="str">
        <f>'Założenia 2 - Dane wejściowe'!E147</f>
        <v>sieć ciepłownicza</v>
      </c>
      <c r="F27" s="660">
        <f>'Założenia 2 - Dane wejściowe'!F147</f>
        <v>461.44</v>
      </c>
      <c r="G27" s="1"/>
    </row>
    <row r="28" spans="2:7" ht="29.1" thickBot="1">
      <c r="B28" s="161">
        <v>24</v>
      </c>
      <c r="C28" s="160" t="str">
        <f>'Założenia 2 - Dane wejściowe'!C148</f>
        <v>Miejska Biblioteka Publiczna w Wiechlicach</v>
      </c>
      <c r="D28" s="167">
        <f>'Założenia 2 - Dane wejściowe'!D148</f>
        <v>0.78</v>
      </c>
      <c r="E28" s="167" t="str">
        <f>'Założenia 2 - Dane wejściowe'!E148</f>
        <v>gaz</v>
      </c>
      <c r="F28" s="660">
        <f>IF(E28=$I$5,PRODUCT('Założenia 2 - Dane wejściowe'!F148*'Założenia 2 - Dane wejściowe'!$F$36),IF('Obiekty publiczne'!E28='Obiekty publiczne'!$I$6,PRODUCT('Założenia 2 - Dane wejściowe'!$G$36*'Założenia 2 - Dane wejściowe'!F148,0)))</f>
        <v>76.466999999999999</v>
      </c>
      <c r="G28" s="1"/>
    </row>
    <row r="29" spans="2:7" ht="29.1" thickBot="1">
      <c r="B29" s="159">
        <v>25</v>
      </c>
      <c r="C29" s="160" t="str">
        <f>'Założenia 2 - Dane wejściowe'!C149</f>
        <v>Miejska biblioteka Publiczna w Lesznie Górnym</v>
      </c>
      <c r="D29" s="167">
        <f>'Założenia 2 - Dane wejściowe'!D149</f>
        <v>0.1</v>
      </c>
      <c r="E29" s="167" t="str">
        <f>'Założenia 2 - Dane wejściowe'!E149</f>
        <v>węgiel</v>
      </c>
      <c r="F29" s="660">
        <f>'Założenia 2 - Dane wejściowe'!F149*'Założenia 2 - Dane wejściowe'!$G$36</f>
        <v>24</v>
      </c>
      <c r="G29" s="1"/>
    </row>
    <row r="30" spans="2:7" ht="14.7" thickBot="1">
      <c r="B30" s="161">
        <v>26</v>
      </c>
      <c r="C30" s="160" t="str">
        <f>'Założenia 2 - Dane wejściowe'!C150</f>
        <v>Szprotawski Dom Kultury</v>
      </c>
      <c r="D30" s="167">
        <f>'Założenia 2 - Dane wejściowe'!D150</f>
        <v>53.99</v>
      </c>
      <c r="E30" s="167" t="str">
        <f>'Założenia 2 - Dane wejściowe'!E150</f>
        <v>gaz</v>
      </c>
      <c r="F30" s="660">
        <f>IF(E30=$I$5,PRODUCT('Założenia 2 - Dane wejściowe'!F150*'Założenia 2 - Dane wejściowe'!$F$36),IF('Obiekty publiczne'!E30='Obiekty publiczne'!$I$6,PRODUCT('Założenia 2 - Dane wejściowe'!$G$36*'Założenia 2 - Dane wejściowe'!F150,0)))</f>
        <v>1194.078</v>
      </c>
      <c r="G30" s="1"/>
    </row>
    <row r="31" spans="2:7" ht="14.7" thickBot="1">
      <c r="B31" s="159">
        <v>27</v>
      </c>
      <c r="C31" s="160" t="str">
        <f>'Założenia 2 - Dane wejściowe'!C151</f>
        <v>Nowy Szpital w Szprotawie</v>
      </c>
      <c r="D31" s="167">
        <f>'Założenia 2 - Dane wejściowe'!D151</f>
        <v>173.12</v>
      </c>
      <c r="E31" s="167" t="str">
        <f>'Założenia 2 - Dane wejściowe'!E151</f>
        <v>gaz</v>
      </c>
      <c r="F31" s="660">
        <f>IF(E31=$I$5,PRODUCT('Założenia 2 - Dane wejściowe'!F151*'Założenia 2 - Dane wejściowe'!$F$36),IF('Obiekty publiczne'!E31='Obiekty publiczne'!$I$6,PRODUCT('Założenia 2 - Dane wejściowe'!$G$36*'Założenia 2 - Dane wejściowe'!F151,0)))</f>
        <v>29487.648999999998</v>
      </c>
      <c r="G31" s="1"/>
    </row>
    <row r="32" spans="2:7" ht="55.8" customHeight="1" thickBot="1">
      <c r="B32" s="161">
        <v>28</v>
      </c>
      <c r="C32" s="160" t="str">
        <f>'Założenia 2 - Dane wejściowe'!C152</f>
        <v>Przedszkole komunalne nr 3 pod Dębami w Szprotawie</v>
      </c>
      <c r="D32" s="167">
        <f>'Założenia 2 - Dane wejściowe'!D152</f>
        <v>16.66</v>
      </c>
      <c r="E32" s="167" t="str">
        <f>'Założenia 2 - Dane wejściowe'!E152</f>
        <v>gaz</v>
      </c>
      <c r="F32" s="660">
        <f>IF(E32=$I$5,PRODUCT('Założenia 2 - Dane wejściowe'!F152*'Założenia 2 - Dane wejściowe'!$F$36),IF('Obiekty publiczne'!E32='Obiekty publiczne'!$I$6,PRODUCT('Założenia 2 - Dane wejściowe'!$G$36*'Założenia 2 - Dane wejściowe'!F152,0)))</f>
        <v>149.1</v>
      </c>
      <c r="G32" s="1"/>
    </row>
    <row r="33" spans="2:9" ht="28.8" customHeight="1" thickBot="1">
      <c r="B33" s="159">
        <v>29</v>
      </c>
      <c r="C33" s="160" t="str">
        <f>'Założenia 2 - Dane wejściowe'!C153</f>
        <v>Zespół Szkół Centrum Kształcenia Rolniczego w Henrykowie</v>
      </c>
      <c r="D33" s="167">
        <f>'Założenia 2 - Dane wejściowe'!D153</f>
        <v>19.23</v>
      </c>
      <c r="E33" s="167" t="str">
        <f>'Założenia 2 - Dane wejściowe'!E153</f>
        <v>gaz</v>
      </c>
      <c r="F33" s="660">
        <f>IF(E33=$I$5,PRODUCT('Założenia 2 - Dane wejściowe'!F153*'Założenia 2 - Dane wejściowe'!$F$36),IF('Obiekty publiczne'!E33='Obiekty publiczne'!$I$6,PRODUCT('Założenia 2 - Dane wejściowe'!$G$36*'Założenia 2 - Dane wejściowe'!F153,0)))</f>
        <v>757.42799999999988</v>
      </c>
      <c r="G33" s="1"/>
    </row>
    <row r="34" spans="2:9" ht="14.7" thickBot="1">
      <c r="B34" s="161">
        <v>30</v>
      </c>
      <c r="C34" s="160" t="str">
        <f>'Założenia 2 - Dane wejściowe'!C154</f>
        <v>Świetlica w Pasterzowicach</v>
      </c>
      <c r="D34" s="167">
        <f>'Założenia 2 - Dane wejściowe'!D154</f>
        <v>1.03</v>
      </c>
      <c r="E34" s="167" t="str">
        <f>'Założenia 2 - Dane wejściowe'!E154</f>
        <v>węgiel</v>
      </c>
      <c r="F34" s="660">
        <f>'Założenia 2 - Dane wejściowe'!F154*'Założenia 2 - Dane wejściowe'!$G$36</f>
        <v>36</v>
      </c>
      <c r="G34" s="1"/>
    </row>
    <row r="35" spans="2:9" ht="14.7" thickBot="1">
      <c r="B35" s="159">
        <v>31</v>
      </c>
      <c r="C35" s="160" t="str">
        <f>'Założenia 2 - Dane wejściowe'!C155</f>
        <v>Sala Wiejska w Dzikowicach</v>
      </c>
      <c r="D35" s="167">
        <f>'Założenia 2 - Dane wejściowe'!D155</f>
        <v>1.2</v>
      </c>
      <c r="E35" s="167" t="str">
        <f>'Założenia 2 - Dane wejściowe'!E155</f>
        <v>węgiel</v>
      </c>
      <c r="F35" s="660">
        <f>'Założenia 2 - Dane wejściowe'!F155*'Założenia 2 - Dane wejściowe'!$G$36</f>
        <v>31.200000000000003</v>
      </c>
      <c r="G35" s="1"/>
    </row>
    <row r="36" spans="2:9" ht="14.7" thickBot="1">
      <c r="B36" s="161">
        <v>32</v>
      </c>
      <c r="C36" s="160" t="str">
        <f>'Założenia 2 - Dane wejściowe'!C156</f>
        <v>Sala Wiejska w Witkowicach</v>
      </c>
      <c r="D36" s="167">
        <f>'Założenia 2 - Dane wejściowe'!D156</f>
        <v>1.6</v>
      </c>
      <c r="E36" s="167" t="str">
        <f>'Założenia 2 - Dane wejściowe'!E156</f>
        <v>węgiel</v>
      </c>
      <c r="F36" s="660">
        <f>'Założenia 2 - Dane wejściowe'!F156*'Założenia 2 - Dane wejściowe'!$G$36</f>
        <v>21.6</v>
      </c>
      <c r="G36" s="1"/>
    </row>
    <row r="37" spans="2:9" ht="14.7" thickBot="1">
      <c r="B37" s="159">
        <v>33</v>
      </c>
      <c r="C37" s="160" t="str">
        <f>'Założenia 2 - Dane wejściowe'!C157</f>
        <v>OSP w Witkowicach</v>
      </c>
      <c r="D37" s="167">
        <f>'Założenia 2 - Dane wejściowe'!D157</f>
        <v>0.5</v>
      </c>
      <c r="E37" s="167" t="str">
        <f>'Założenia 2 - Dane wejściowe'!E157</f>
        <v>węgiel</v>
      </c>
      <c r="F37" s="660">
        <f>'Założenia 2 - Dane wejściowe'!F157*'Założenia 2 - Dane wejściowe'!$G$36</f>
        <v>50.400000000000006</v>
      </c>
      <c r="G37" s="1"/>
    </row>
    <row r="38" spans="2:9" ht="14.7" thickBot="1">
      <c r="B38" s="161">
        <v>34</v>
      </c>
      <c r="C38" s="160" t="str">
        <f>'Założenia 2 - Dane wejściowe'!C158</f>
        <v>Świetlica wiejska w Dziećmiarowicach</v>
      </c>
      <c r="D38" s="167">
        <f>'Założenia 2 - Dane wejściowe'!D158</f>
        <v>0.9</v>
      </c>
      <c r="E38" s="167" t="str">
        <f>'Założenia 2 - Dane wejściowe'!E158</f>
        <v>węgiel</v>
      </c>
      <c r="F38" s="660">
        <f>'Założenia 2 - Dane wejściowe'!F158*'Założenia 2 - Dane wejściowe'!$G$36</f>
        <v>43.2</v>
      </c>
      <c r="G38" s="1"/>
    </row>
    <row r="39" spans="2:9" ht="14.7" thickBot="1">
      <c r="B39" s="159">
        <v>35</v>
      </c>
      <c r="C39" s="160" t="str">
        <f>'Założenia 2 - Dane wejściowe'!C159</f>
        <v>Świetlica wiejska w Borowinie</v>
      </c>
      <c r="D39" s="167">
        <f>'Założenia 2 - Dane wejściowe'!D159</f>
        <v>0.8</v>
      </c>
      <c r="E39" s="167" t="str">
        <f>'Założenia 2 - Dane wejściowe'!E159</f>
        <v>węgiel</v>
      </c>
      <c r="F39" s="660">
        <f>'Założenia 2 - Dane wejściowe'!F159*'Założenia 2 - Dane wejściowe'!$G$36</f>
        <v>14.399999999999999</v>
      </c>
      <c r="G39" s="1"/>
    </row>
    <row r="40" spans="2:9" ht="14.7" thickBot="1">
      <c r="B40" s="161">
        <v>36</v>
      </c>
      <c r="C40" s="160" t="str">
        <f>'Założenia 2 - Dane wejściowe'!C160</f>
        <v>OSP w Borowinie</v>
      </c>
      <c r="D40" s="167">
        <f>'Założenia 2 - Dane wejściowe'!D160</f>
        <v>1.2</v>
      </c>
      <c r="E40" s="167" t="str">
        <f>'Założenia 2 - Dane wejściowe'!E160</f>
        <v>węgiel</v>
      </c>
      <c r="F40" s="660">
        <f>'Założenia 2 - Dane wejściowe'!F160*'Założenia 2 - Dane wejściowe'!$G$36</f>
        <v>28.799999999999997</v>
      </c>
      <c r="G40" s="1"/>
    </row>
    <row r="41" spans="2:9" ht="14.7" thickBot="1">
      <c r="B41" s="161">
        <v>37</v>
      </c>
      <c r="C41" s="160" t="str">
        <f>'Założenia 2 - Dane wejściowe'!C161</f>
        <v>Sala wiejska w Cieciszowie</v>
      </c>
      <c r="D41" s="167">
        <f>'Założenia 2 - Dane wejściowe'!D161</f>
        <v>0.4</v>
      </c>
      <c r="E41" s="167" t="str">
        <f>'Założenia 2 - Dane wejściowe'!E161</f>
        <v>węgiel</v>
      </c>
      <c r="F41" s="660">
        <f>'Założenia 2 - Dane wejściowe'!F161*'Założenia 2 - Dane wejściowe'!$G$36</f>
        <v>12</v>
      </c>
      <c r="G41" s="1"/>
    </row>
    <row r="42" spans="2:9" ht="14.7" thickBot="1">
      <c r="B42" s="159">
        <v>38</v>
      </c>
      <c r="C42" s="159" t="str">
        <f>'Założenia 2 - Dane wejściowe'!C162</f>
        <v>Sala wiejska w Kartowicach</v>
      </c>
      <c r="D42" s="659">
        <f>'Założenia 2 - Dane wejściowe'!D162</f>
        <v>0.3</v>
      </c>
      <c r="E42" s="659" t="str">
        <f>'Założenia 2 - Dane wejściowe'!E162</f>
        <v>węgiel</v>
      </c>
      <c r="F42" s="660">
        <f>'Założenia 2 - Dane wejściowe'!F162*'Założenia 2 - Dane wejściowe'!$G$36</f>
        <v>12</v>
      </c>
      <c r="G42" s="1"/>
    </row>
    <row r="43" spans="2:9" ht="29.1" thickBot="1">
      <c r="B43" s="159">
        <v>39</v>
      </c>
      <c r="C43" s="159" t="str">
        <f>'Założenia 2 - Dane wejściowe'!C163</f>
        <v>Wieża ciśnień - budynek zabytkowy w Szprotawie</v>
      </c>
      <c r="D43" s="659" t="str">
        <f>'Założenia 2 - Dane wejściowe'!D163</f>
        <v>b/d</v>
      </c>
      <c r="E43" s="659" t="str">
        <f>'Założenia 2 - Dane wejściowe'!E163</f>
        <v>b/d</v>
      </c>
      <c r="F43" s="660" t="s">
        <v>595</v>
      </c>
      <c r="G43" s="1"/>
    </row>
    <row r="44" spans="2:9" ht="29.1" thickBot="1">
      <c r="B44" s="159">
        <v>40</v>
      </c>
      <c r="C44" s="159" t="str">
        <f>'Założenia 2 - Dane wejściowe'!C164</f>
        <v xml:space="preserve"> Kościół Wniebowzięcia NMP w Szprotawie (Magdalenki)</v>
      </c>
      <c r="D44" s="659" t="str">
        <f>'Założenia 2 - Dane wejściowe'!D164</f>
        <v>b/d</v>
      </c>
      <c r="E44" s="659" t="str">
        <f>'Założenia 2 - Dane wejściowe'!E164</f>
        <v>b/d</v>
      </c>
      <c r="F44" s="660" t="s">
        <v>595</v>
      </c>
      <c r="G44" s="1"/>
    </row>
    <row r="45" spans="2:9">
      <c r="D45" s="307">
        <f>ROUND(SUM(D5:D44),2)</f>
        <v>852.2</v>
      </c>
      <c r="F45" s="307">
        <f>SUM(F5:F44)</f>
        <v>49678.645999999993</v>
      </c>
    </row>
    <row r="47" spans="2:9" ht="14.1" thickBot="1"/>
    <row r="48" spans="2:9" ht="16.5" thickBot="1">
      <c r="B48" s="31" t="s">
        <v>94</v>
      </c>
      <c r="C48" s="61"/>
      <c r="D48" s="61"/>
      <c r="E48" s="61"/>
      <c r="F48" s="61"/>
      <c r="G48" s="61"/>
      <c r="H48" s="61"/>
      <c r="I48" s="62"/>
    </row>
    <row r="50" spans="2:9" ht="14.1" thickBot="1"/>
    <row r="51" spans="2:9" ht="14.7" thickBot="1">
      <c r="B51" s="900" t="s">
        <v>92</v>
      </c>
      <c r="C51" s="901"/>
      <c r="D51" s="902"/>
      <c r="H51" s="903" t="s">
        <v>100</v>
      </c>
      <c r="I51" s="904"/>
    </row>
    <row r="52" spans="2:9" ht="16.8">
      <c r="B52" s="63" t="s">
        <v>16</v>
      </c>
      <c r="C52" s="64" t="s">
        <v>93</v>
      </c>
      <c r="D52" s="65" t="s">
        <v>95</v>
      </c>
      <c r="H52" s="66" t="s">
        <v>101</v>
      </c>
      <c r="I52" s="67" t="s">
        <v>103</v>
      </c>
    </row>
    <row r="53" spans="2:9" ht="31.5" thickBot="1">
      <c r="B53" s="119">
        <f>SUM(D5:D42)</f>
        <v>852.19500000000005</v>
      </c>
      <c r="C53" s="475">
        <f>'Założenia 2 - Dane wejściowe'!B20</f>
        <v>0.89</v>
      </c>
      <c r="D53" s="84">
        <f>B53*C53</f>
        <v>758.45355000000006</v>
      </c>
      <c r="H53" s="120" t="s">
        <v>102</v>
      </c>
      <c r="I53" s="121">
        <f>D53+D57+D61+D65+D69</f>
        <v>3670.8714800000002</v>
      </c>
    </row>
    <row r="54" spans="2:9" ht="14.1" thickBot="1"/>
    <row r="55" spans="2:9" ht="14.4">
      <c r="B55" s="900" t="s">
        <v>96</v>
      </c>
      <c r="C55" s="901"/>
      <c r="D55" s="902"/>
    </row>
    <row r="56" spans="2:9" ht="16.8">
      <c r="B56" s="63" t="s">
        <v>99</v>
      </c>
      <c r="C56" s="64" t="s">
        <v>93</v>
      </c>
      <c r="D56" s="65" t="s">
        <v>95</v>
      </c>
    </row>
    <row r="57" spans="2:9" ht="14.1" thickBot="1">
      <c r="B57" s="119">
        <f>F5+F6+F9+F11+F12+F13+F14+F15+F16+F17+F18+F20+F21+F23+F24+F25+F26+F28+F30+F31+F32+F33</f>
        <v>45447.525999999998</v>
      </c>
      <c r="C57" s="5">
        <f>'Założenia 2 - Dane wejściowe'!B35</f>
        <v>5.5E-2</v>
      </c>
      <c r="D57" s="84">
        <f>B57*C57</f>
        <v>2499.61393</v>
      </c>
    </row>
    <row r="58" spans="2:9" ht="14.1" thickBot="1"/>
    <row r="59" spans="2:9" ht="14.4">
      <c r="B59" s="900" t="s">
        <v>97</v>
      </c>
      <c r="C59" s="901"/>
      <c r="D59" s="902"/>
    </row>
    <row r="60" spans="2:9" ht="16.8">
      <c r="B60" s="63" t="s">
        <v>99</v>
      </c>
      <c r="C60" s="64" t="s">
        <v>93</v>
      </c>
      <c r="D60" s="65" t="s">
        <v>95</v>
      </c>
    </row>
    <row r="61" spans="2:9" ht="14.1" thickBot="1">
      <c r="B61" s="119">
        <f>F27</f>
        <v>461.44</v>
      </c>
      <c r="C61" s="5">
        <f>'Założenia 2 - Dane wejściowe'!N35</f>
        <v>9.4E-2</v>
      </c>
      <c r="D61" s="84">
        <f>B61*C61</f>
        <v>43.375360000000001</v>
      </c>
    </row>
    <row r="62" spans="2:9" ht="14.1" thickBot="1"/>
    <row r="63" spans="2:9" ht="14.4">
      <c r="B63" s="900" t="s">
        <v>98</v>
      </c>
      <c r="C63" s="901"/>
      <c r="D63" s="902"/>
    </row>
    <row r="64" spans="2:9" ht="16.8">
      <c r="B64" s="63" t="s">
        <v>99</v>
      </c>
      <c r="C64" s="64" t="s">
        <v>93</v>
      </c>
      <c r="D64" s="65" t="s">
        <v>95</v>
      </c>
    </row>
    <row r="65" spans="2:4" ht="14.1" thickBot="1">
      <c r="B65" s="119">
        <f>F7+F8+F10+F19+F22+F29+F34+F35+F36+F37+F39+F40+F41+F42+F38</f>
        <v>3769.68</v>
      </c>
      <c r="C65" s="5">
        <f>'Założenia 2 - Dane wejściowe'!N37</f>
        <v>9.8000000000000004E-2</v>
      </c>
      <c r="D65" s="84">
        <f>B65*C65</f>
        <v>369.42863999999997</v>
      </c>
    </row>
    <row r="66" spans="2:4" ht="14.1" thickBot="1"/>
    <row r="67" spans="2:4" ht="14.4">
      <c r="B67" s="900" t="s">
        <v>147</v>
      </c>
      <c r="C67" s="901"/>
      <c r="D67" s="902"/>
    </row>
    <row r="68" spans="2:4" ht="16.8">
      <c r="B68" s="63" t="s">
        <v>99</v>
      </c>
      <c r="C68" s="64" t="s">
        <v>93</v>
      </c>
      <c r="D68" s="65" t="s">
        <v>95</v>
      </c>
    </row>
    <row r="69" spans="2:4" ht="14.1" thickBot="1">
      <c r="B69" s="119">
        <v>0</v>
      </c>
      <c r="C69" s="5">
        <f>'Założenia 2 - Dane wejściowe'!N39</f>
        <v>7.5999999999999998E-2</v>
      </c>
      <c r="D69" s="84">
        <f>B69*C69</f>
        <v>0</v>
      </c>
    </row>
  </sheetData>
  <mergeCells count="6">
    <mergeCell ref="B63:D63"/>
    <mergeCell ref="B67:D67"/>
    <mergeCell ref="B51:D51"/>
    <mergeCell ref="H51:I51"/>
    <mergeCell ref="B55:D55"/>
    <mergeCell ref="B59:D59"/>
  </mergeCells>
  <pageMargins left="0.7" right="0.7" top="0.75" bottom="0.75" header="0.3" footer="0.3"/>
  <pageSetup paperSize="9" scale="5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16</vt:i4>
      </vt:variant>
      <vt:variant>
        <vt:lpstr>Nazwane zakresy</vt:lpstr>
      </vt:variant>
      <vt:variant>
        <vt:i4>12</vt:i4>
      </vt:variant>
    </vt:vector>
  </HeadingPairs>
  <TitlesOfParts>
    <vt:vector size="28" baseType="lpstr">
      <vt:lpstr>Karta informacyjna</vt:lpstr>
      <vt:lpstr>Założenia 1 - Wyniki ankiet</vt:lpstr>
      <vt:lpstr>Założenia 2 - Dane wejściowe</vt:lpstr>
      <vt:lpstr>Prąd</vt:lpstr>
      <vt:lpstr>Gaz</vt:lpstr>
      <vt:lpstr>Tranzyt</vt:lpstr>
      <vt:lpstr>Ruch lokalny</vt:lpstr>
      <vt:lpstr>Oświetlenie</vt:lpstr>
      <vt:lpstr>Obiekty publiczne</vt:lpstr>
      <vt:lpstr>Paliwa opałowe</vt:lpstr>
      <vt:lpstr>Ciepło systemowe</vt:lpstr>
      <vt:lpstr>BILANS</vt:lpstr>
      <vt:lpstr>Dobowa emisja</vt:lpstr>
      <vt:lpstr>CELE</vt:lpstr>
      <vt:lpstr>Inwestycje i działania</vt:lpstr>
      <vt:lpstr>redukcja - wyliczenie</vt:lpstr>
      <vt:lpstr>BILANS!Obszar_wydruku</vt:lpstr>
      <vt:lpstr>CELE!Obszar_wydruku</vt:lpstr>
      <vt:lpstr>'Ciepło systemowe'!Obszar_wydruku</vt:lpstr>
      <vt:lpstr>Gaz!Obszar_wydruku</vt:lpstr>
      <vt:lpstr>'Obiekty publiczne'!Obszar_wydruku</vt:lpstr>
      <vt:lpstr>Oświetlenie!Obszar_wydruku</vt:lpstr>
      <vt:lpstr>'Paliwa opałowe'!Obszar_wydruku</vt:lpstr>
      <vt:lpstr>Prąd!Obszar_wydruku</vt:lpstr>
      <vt:lpstr>'redukcja - wyliczenie'!Obszar_wydruku</vt:lpstr>
      <vt:lpstr>'Ruch lokalny'!Obszar_wydruku</vt:lpstr>
      <vt:lpstr>Tranzyt!Obszar_wydruku</vt:lpstr>
      <vt:lpstr>'Założenia 1 - Wyniki ankiet'!Obszar_wydruku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malgosia</dc:creator>
  <cp:lastModifiedBy>Grzegorz</cp:lastModifiedBy>
  <cp:lastPrinted>2016-01-11T22:22:38Z</cp:lastPrinted>
  <dcterms:created xsi:type="dcterms:W3CDTF">2015-04-09T08:30:48Z</dcterms:created>
  <dcterms:modified xsi:type="dcterms:W3CDTF">2018-05-11T06:35:47Z</dcterms:modified>
</cp:coreProperties>
</file>