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20775" windowHeight="9405"/>
  </bookViews>
  <sheets>
    <sheet name="Załącznik 1" sheetId="1" r:id="rId1"/>
  </sheets>
  <calcPr calcId="145621"/>
</workbook>
</file>

<file path=xl/calcChain.xml><?xml version="1.0" encoding="utf-8"?>
<calcChain xmlns="http://schemas.openxmlformats.org/spreadsheetml/2006/main">
  <c r="S97" i="1" l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F64" i="1"/>
  <c r="E64" i="1"/>
  <c r="D64" i="1"/>
  <c r="C64" i="1"/>
  <c r="F63" i="1"/>
  <c r="E63" i="1"/>
  <c r="D63" i="1"/>
  <c r="C63" i="1"/>
  <c r="S48" i="1"/>
  <c r="S45" i="1" s="1"/>
  <c r="R48" i="1"/>
  <c r="Q48" i="1"/>
  <c r="Q45" i="1" s="1"/>
  <c r="P48" i="1"/>
  <c r="P45" i="1" s="1"/>
  <c r="O48" i="1"/>
  <c r="O45" i="1" s="1"/>
  <c r="N48" i="1"/>
  <c r="N45" i="1" s="1"/>
  <c r="M48" i="1"/>
  <c r="M45" i="1" s="1"/>
  <c r="L48" i="1"/>
  <c r="L45" i="1" s="1"/>
  <c r="K48" i="1"/>
  <c r="K45" i="1" s="1"/>
  <c r="J48" i="1"/>
  <c r="I48" i="1"/>
  <c r="I45" i="1" s="1"/>
  <c r="H48" i="1"/>
  <c r="H45" i="1" s="1"/>
  <c r="G48" i="1"/>
  <c r="G45" i="1" s="1"/>
  <c r="F48" i="1"/>
  <c r="F45" i="1" s="1"/>
  <c r="E48" i="1"/>
  <c r="E45" i="1" s="1"/>
  <c r="D48" i="1"/>
  <c r="D45" i="1" s="1"/>
  <c r="C48" i="1"/>
  <c r="C45" i="1" s="1"/>
  <c r="R45" i="1"/>
  <c r="J45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S16" i="1"/>
  <c r="R16" i="1"/>
  <c r="Q16" i="1"/>
  <c r="Q15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I15" i="1"/>
  <c r="S11" i="1"/>
  <c r="R11" i="1"/>
  <c r="Q11" i="1"/>
  <c r="P11" i="1"/>
  <c r="P2" i="1" s="1"/>
  <c r="O11" i="1"/>
  <c r="N11" i="1"/>
  <c r="M11" i="1"/>
  <c r="L11" i="1"/>
  <c r="K11" i="1"/>
  <c r="J11" i="1"/>
  <c r="I11" i="1"/>
  <c r="H11" i="1"/>
  <c r="H2" i="1" s="1"/>
  <c r="G11" i="1"/>
  <c r="F11" i="1"/>
  <c r="E11" i="1"/>
  <c r="D11" i="1"/>
  <c r="C11" i="1"/>
  <c r="S3" i="1"/>
  <c r="R3" i="1"/>
  <c r="Q3" i="1"/>
  <c r="Q61" i="1" s="1"/>
  <c r="P3" i="1"/>
  <c r="O3" i="1"/>
  <c r="O2" i="1" s="1"/>
  <c r="N3" i="1"/>
  <c r="M3" i="1"/>
  <c r="L3" i="1"/>
  <c r="K3" i="1"/>
  <c r="J3" i="1"/>
  <c r="I3" i="1"/>
  <c r="H3" i="1"/>
  <c r="G3" i="1"/>
  <c r="F3" i="1"/>
  <c r="E3" i="1"/>
  <c r="D3" i="1"/>
  <c r="C3" i="1"/>
  <c r="L2" i="1"/>
  <c r="J2" i="1" l="1"/>
  <c r="J100" i="1" s="1"/>
  <c r="F15" i="1"/>
  <c r="J15" i="1"/>
  <c r="J30" i="1" s="1"/>
  <c r="N15" i="1"/>
  <c r="N30" i="1" s="1"/>
  <c r="R15" i="1"/>
  <c r="E15" i="1"/>
  <c r="M15" i="1"/>
  <c r="D60" i="1"/>
  <c r="D65" i="1" s="1"/>
  <c r="H60" i="1"/>
  <c r="L60" i="1"/>
  <c r="P60" i="1"/>
  <c r="D2" i="1"/>
  <c r="D100" i="1" s="1"/>
  <c r="D15" i="1"/>
  <c r="C15" i="1"/>
  <c r="G15" i="1"/>
  <c r="K15" i="1"/>
  <c r="O15" i="1"/>
  <c r="S15" i="1"/>
  <c r="R60" i="1"/>
  <c r="F60" i="1"/>
  <c r="F65" i="1" s="1"/>
  <c r="N60" i="1"/>
  <c r="H62" i="1"/>
  <c r="L62" i="1"/>
  <c r="P57" i="1"/>
  <c r="P15" i="1"/>
  <c r="J60" i="1"/>
  <c r="C2" i="1"/>
  <c r="C30" i="1" s="1"/>
  <c r="S2" i="1"/>
  <c r="S100" i="1" s="1"/>
  <c r="F2" i="1"/>
  <c r="F100" i="1" s="1"/>
  <c r="N2" i="1"/>
  <c r="N100" i="1" s="1"/>
  <c r="R2" i="1"/>
  <c r="R100" i="1" s="1"/>
  <c r="S30" i="1"/>
  <c r="F30" i="1"/>
  <c r="G62" i="1"/>
  <c r="G57" i="1"/>
  <c r="G61" i="1"/>
  <c r="K62" i="1"/>
  <c r="K57" i="1"/>
  <c r="K61" i="1"/>
  <c r="K2" i="1"/>
  <c r="D61" i="1"/>
  <c r="H61" i="1"/>
  <c r="P61" i="1"/>
  <c r="D57" i="1"/>
  <c r="C58" i="1"/>
  <c r="S58" i="1"/>
  <c r="P62" i="1"/>
  <c r="G2" i="1"/>
  <c r="L100" i="1"/>
  <c r="E58" i="1"/>
  <c r="E62" i="1"/>
  <c r="E57" i="1"/>
  <c r="E2" i="1"/>
  <c r="I58" i="1"/>
  <c r="I62" i="1"/>
  <c r="I57" i="1"/>
  <c r="I2" i="1"/>
  <c r="M58" i="1"/>
  <c r="M62" i="1"/>
  <c r="M57" i="1"/>
  <c r="M2" i="1"/>
  <c r="Q58" i="1"/>
  <c r="Q62" i="1"/>
  <c r="Q57" i="1"/>
  <c r="Q2" i="1"/>
  <c r="H15" i="1"/>
  <c r="H30" i="1" s="1"/>
  <c r="E60" i="1"/>
  <c r="I60" i="1"/>
  <c r="M60" i="1"/>
  <c r="Q60" i="1"/>
  <c r="H57" i="1"/>
  <c r="G58" i="1"/>
  <c r="E61" i="1"/>
  <c r="D62" i="1"/>
  <c r="O30" i="1"/>
  <c r="O100" i="1"/>
  <c r="O62" i="1"/>
  <c r="O57" i="1"/>
  <c r="O61" i="1"/>
  <c r="P100" i="1"/>
  <c r="L61" i="1"/>
  <c r="L15" i="1"/>
  <c r="L30" i="1" s="1"/>
  <c r="H100" i="1"/>
  <c r="F58" i="1"/>
  <c r="F62" i="1"/>
  <c r="F57" i="1"/>
  <c r="F61" i="1"/>
  <c r="J58" i="1"/>
  <c r="J62" i="1"/>
  <c r="K63" i="1" s="1"/>
  <c r="J57" i="1"/>
  <c r="J61" i="1"/>
  <c r="N58" i="1"/>
  <c r="N62" i="1"/>
  <c r="N57" i="1"/>
  <c r="N61" i="1"/>
  <c r="R58" i="1"/>
  <c r="R62" i="1"/>
  <c r="R57" i="1"/>
  <c r="R61" i="1"/>
  <c r="P30" i="1"/>
  <c r="L57" i="1"/>
  <c r="K58" i="1"/>
  <c r="I61" i="1"/>
  <c r="C62" i="1"/>
  <c r="C57" i="1"/>
  <c r="C61" i="1"/>
  <c r="S62" i="1"/>
  <c r="S57" i="1"/>
  <c r="S61" i="1"/>
  <c r="C60" i="1"/>
  <c r="G60" i="1"/>
  <c r="K60" i="1"/>
  <c r="O60" i="1"/>
  <c r="S60" i="1"/>
  <c r="O58" i="1"/>
  <c r="M61" i="1"/>
  <c r="D58" i="1"/>
  <c r="H58" i="1"/>
  <c r="L58" i="1"/>
  <c r="P58" i="1"/>
  <c r="F66" i="1" l="1"/>
  <c r="D66" i="1"/>
  <c r="R30" i="1"/>
  <c r="D30" i="1"/>
  <c r="D31" i="1" s="1"/>
  <c r="I63" i="1"/>
  <c r="C100" i="1"/>
  <c r="I64" i="1"/>
  <c r="I66" i="1" s="1"/>
  <c r="K64" i="1"/>
  <c r="K66" i="1" s="1"/>
  <c r="C66" i="1"/>
  <c r="C65" i="1"/>
  <c r="Q64" i="1"/>
  <c r="Q66" i="1" s="1"/>
  <c r="Q63" i="1"/>
  <c r="Q65" i="1" s="1"/>
  <c r="M64" i="1"/>
  <c r="L31" i="1"/>
  <c r="L99" i="1"/>
  <c r="H64" i="1"/>
  <c r="H66" i="1" s="1"/>
  <c r="H63" i="1"/>
  <c r="H65" i="1" s="1"/>
  <c r="O64" i="1"/>
  <c r="O63" i="1"/>
  <c r="O65" i="1" s="1"/>
  <c r="R63" i="1"/>
  <c r="R65" i="1" s="1"/>
  <c r="R64" i="1"/>
  <c r="R66" i="1" s="1"/>
  <c r="N99" i="1"/>
  <c r="N31" i="1"/>
  <c r="S99" i="1"/>
  <c r="S31" i="1"/>
  <c r="O66" i="1"/>
  <c r="S64" i="1"/>
  <c r="S66" i="1" s="1"/>
  <c r="S63" i="1"/>
  <c r="M63" i="1"/>
  <c r="M65" i="1" s="1"/>
  <c r="M66" i="1"/>
  <c r="Q30" i="1"/>
  <c r="Q100" i="1"/>
  <c r="M30" i="1"/>
  <c r="M100" i="1"/>
  <c r="I30" i="1"/>
  <c r="I100" i="1"/>
  <c r="E30" i="1"/>
  <c r="E100" i="1"/>
  <c r="L64" i="1"/>
  <c r="L66" i="1" s="1"/>
  <c r="L63" i="1"/>
  <c r="L65" i="1" s="1"/>
  <c r="J63" i="1"/>
  <c r="J65" i="1" s="1"/>
  <c r="J64" i="1"/>
  <c r="J66" i="1" s="1"/>
  <c r="S65" i="1"/>
  <c r="K65" i="1"/>
  <c r="G64" i="1"/>
  <c r="G66" i="1" s="1"/>
  <c r="G63" i="1"/>
  <c r="G65" i="1" s="1"/>
  <c r="P31" i="1"/>
  <c r="P99" i="1"/>
  <c r="I65" i="1"/>
  <c r="G30" i="1"/>
  <c r="G100" i="1"/>
  <c r="K30" i="1"/>
  <c r="K100" i="1"/>
  <c r="R99" i="1"/>
  <c r="R31" i="1"/>
  <c r="F99" i="1"/>
  <c r="F31" i="1"/>
  <c r="P64" i="1"/>
  <c r="P66" i="1" s="1"/>
  <c r="P63" i="1"/>
  <c r="P65" i="1" s="1"/>
  <c r="H31" i="1"/>
  <c r="H99" i="1"/>
  <c r="D99" i="1"/>
  <c r="O99" i="1"/>
  <c r="O31" i="1"/>
  <c r="E66" i="1"/>
  <c r="E65" i="1"/>
  <c r="J99" i="1"/>
  <c r="J31" i="1"/>
  <c r="N63" i="1"/>
  <c r="N65" i="1" s="1"/>
  <c r="N64" i="1"/>
  <c r="N66" i="1" s="1"/>
  <c r="C99" i="1"/>
  <c r="C31" i="1"/>
  <c r="G99" i="1" l="1"/>
  <c r="G31" i="1"/>
  <c r="E99" i="1"/>
  <c r="E31" i="1"/>
  <c r="M99" i="1"/>
  <c r="M31" i="1"/>
  <c r="K99" i="1"/>
  <c r="K31" i="1"/>
  <c r="I99" i="1"/>
  <c r="I31" i="1"/>
  <c r="Q99" i="1"/>
  <c r="Q31" i="1"/>
</calcChain>
</file>

<file path=xl/sharedStrings.xml><?xml version="1.0" encoding="utf-8"?>
<sst xmlns="http://schemas.openxmlformats.org/spreadsheetml/2006/main" count="353" uniqueCount="209">
  <si>
    <t>Lp.</t>
  </si>
  <si>
    <t>Wyszczególnienie</t>
  </si>
  <si>
    <t>2018</t>
  </si>
  <si>
    <t>2019</t>
  </si>
  <si>
    <t>2020 3kw.</t>
  </si>
  <si>
    <t>2020 pw.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</si>
  <si>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</si>
  <si>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</si>
  <si>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</si>
  <si>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</si>
  <si>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</si>
  <si>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</si>
  <si>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</si>
  <si>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</si>
  <si>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</si>
  <si>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</si>
  <si>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</si>
  <si>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</si>
  <si>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</si>
  <si>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1</t>
  </si>
  <si>
    <t>Dochody ogółem</t>
  </si>
  <si>
    <t>1.1</t>
  </si>
  <si>
    <t>Dochody bieżące, z tego:</t>
  </si>
  <si>
    <t>1.1.1</t>
  </si>
  <si>
    <t>dochody z tytułu udziału we wpływach z podatku dochodowego od osób fizycznych</t>
  </si>
  <si>
    <t>1.1.2</t>
  </si>
  <si>
    <t>dochody z tytułu udziału we wpływach z podatku dochodowego od osób prawnych</t>
  </si>
  <si>
    <t>1.1.3</t>
  </si>
  <si>
    <t>z subwencji ogólnej</t>
  </si>
  <si>
    <t>1.1.4</t>
  </si>
  <si>
    <t>z tytułu dotacji i środków przeznaczonych na cele bieżące</t>
  </si>
  <si>
    <t>1.1.5</t>
  </si>
  <si>
    <t>pozostałe dochody bieżące, w tym:</t>
  </si>
  <si>
    <t>1.1.5.1</t>
  </si>
  <si>
    <t>z podatku od nieruchomości</t>
  </si>
  <si>
    <t>1.1.x</t>
  </si>
  <si>
    <t>Inne</t>
  </si>
  <si>
    <t>1.2</t>
  </si>
  <si>
    <t>Dochody majątkowe, w tym:</t>
  </si>
  <si>
    <t>1.2.1</t>
  </si>
  <si>
    <t>ze sprzedaży majątku</t>
  </si>
  <si>
    <t>1.2.2</t>
  </si>
  <si>
    <t>z tytułu dotacji oraz środków przeznaczonych na inwestycje</t>
  </si>
  <si>
    <t>1.2.x</t>
  </si>
  <si>
    <t>2</t>
  </si>
  <si>
    <t>Wydatki ogółem</t>
  </si>
  <si>
    <t>2.1</t>
  </si>
  <si>
    <t>Wydatki bieżące, w tym:</t>
  </si>
  <si>
    <t>2.1.1</t>
  </si>
  <si>
    <t>na wynagrodzenia i składki od nich naliczane</t>
  </si>
  <si>
    <t>2.1.2</t>
  </si>
  <si>
    <t>z tytułu poręczeń i gwarancji, w tym:</t>
  </si>
  <si>
    <t>2.1.2.1</t>
  </si>
  <si>
    <t>gwarancje i poręczenia podlegające wyłączeniu z limitu spłaty zobowiązań, o którym mowa w art. 243 ustawy</t>
  </si>
  <si>
    <t>2.1.3</t>
  </si>
  <si>
    <t>wydatki na obsługę długu, w tym:</t>
  </si>
  <si>
    <t>2.1.3.x</t>
  </si>
  <si>
    <t>odsetki i dyskonto</t>
  </si>
  <si>
    <t>2.1.3.1</t>
  </si>
  <si>
    <t>odsetki i dyskonto podlegające wyłączeniu z limitu spłaty zobowiązań, o którym mowa w art. 243 ustawy, w terminie nie dłuższym niż 90 dni po zakończeniu programu, projektu lub zadania i otrzymaniu refundacji z tych środków (bez odsetek i dyskonta od zobowiązań na wkład krajowy)</t>
  </si>
  <si>
    <t>2.1.3.2</t>
  </si>
  <si>
    <t>odsetki i dyskonto podlegające wyłączeniu z limitu spłaty zobowiązań, o którym mowa w art. 243 ustawy, z tytułu zobowiązań zaciągniętych na wkład krajowy</t>
  </si>
  <si>
    <t>2.1.3.3</t>
  </si>
  <si>
    <t>pozostałe odsetki i dyskonto podlegające wyłączeniu z limitu spłaty zobowiązań, o którym mowa w art. 243 ustawy</t>
  </si>
  <si>
    <t>2.1.x</t>
  </si>
  <si>
    <t>2.2</t>
  </si>
  <si>
    <t>Wydatki majątkowe, w tym:</t>
  </si>
  <si>
    <t>2.2.1</t>
  </si>
  <si>
    <t>Inwestycje i zakupy inwestycyjne, o których mowa w art. 236 ust. 4 pkt 1 ustawy, w tym:</t>
  </si>
  <si>
    <t>2.2.1.1</t>
  </si>
  <si>
    <t>wydatki o charakterze dotacyjnym na inwestycje i zakupy inwestycyjne</t>
  </si>
  <si>
    <t>2.2.x</t>
  </si>
  <si>
    <t>3</t>
  </si>
  <si>
    <t>Wynik budżetu</t>
  </si>
  <si>
    <t>3.1</t>
  </si>
  <si>
    <t>Kwota prognozowanej nadwyżki budżetu przeznaczana na spłatę kredytów, pożyczek i wykup papierów wartościowych</t>
  </si>
  <si>
    <t>4</t>
  </si>
  <si>
    <t>Przychody budżetu</t>
  </si>
  <si>
    <t>4.1</t>
  </si>
  <si>
    <t>Kredyty, pożyczki, emisja papierów wartościowych, w tym:</t>
  </si>
  <si>
    <t>4.1.1</t>
  </si>
  <si>
    <t>na pokrycie deficytu budżetu</t>
  </si>
  <si>
    <t>4.2</t>
  </si>
  <si>
    <t>Nadwyżka budżetowa z lat ubiegłych, w tym:</t>
  </si>
  <si>
    <t>4.2.1</t>
  </si>
  <si>
    <t>4.3</t>
  </si>
  <si>
    <t>Wolne środki, o których mowa w art. 217 ust. 2 pkt 6 ustawy, w tym:</t>
  </si>
  <si>
    <t>4.3.1</t>
  </si>
  <si>
    <t>4.4</t>
  </si>
  <si>
    <t>Spłaty udzielonych pożyczek w latach ubiegłych, w tym:</t>
  </si>
  <si>
    <t>4.4.1</t>
  </si>
  <si>
    <t>4.5</t>
  </si>
  <si>
    <t>Inne przychody niezwiązane z zaciągnięciem długu, w tym:</t>
  </si>
  <si>
    <t>4.5.1</t>
  </si>
  <si>
    <t>5</t>
  </si>
  <si>
    <t>Rozchody budżetu</t>
  </si>
  <si>
    <t>5.1</t>
  </si>
  <si>
    <t>Spłaty rat kapitałowych kredytów i pożyczek oraz wykup papierów wartościowych, w tym:</t>
  </si>
  <si>
    <t>5.1.1</t>
  </si>
  <si>
    <t>łączna kwota przypadających na dany rok kwot ustawowych wyłączeń z limitu spłaty zobowiązań, w tym:</t>
  </si>
  <si>
    <t>5.1.1.1</t>
  </si>
  <si>
    <t>kwota przypadających na dany rok kwot wyłączeń określonych w art. 243 ust. 3 ustawy</t>
  </si>
  <si>
    <t>5.1.1.2</t>
  </si>
  <si>
    <t>kwota przypadających na dany rok kwot wyłączeń określonych w art. 243 ust. 3a ustawy</t>
  </si>
  <si>
    <t>5.1.1.3</t>
  </si>
  <si>
    <t>kwota wyłączeń z tytułu wcześniejszej spłaty zobowiązań, określonych w art. 243 ust. 3b ustawy, z tego:</t>
  </si>
  <si>
    <t>5.1.1.3.1</t>
  </si>
  <si>
    <t>środkami nowego zobowiązania</t>
  </si>
  <si>
    <t/>
  </si>
  <si>
    <t>5.1.1.3.2</t>
  </si>
  <si>
    <t>wolnymi środkami, o których mowa w art. 217 ust. 2 pkt 6 ustawy</t>
  </si>
  <si>
    <t>5.1.1.3.3</t>
  </si>
  <si>
    <t>innymi środkami</t>
  </si>
  <si>
    <t>5.1.1.4</t>
  </si>
  <si>
    <t>kwota przypadających na dany rok kwot pozostałych ustawowych wyłączeń z limitu spłaty zobowiązań</t>
  </si>
  <si>
    <t>5.2</t>
  </si>
  <si>
    <t>Inne rozchody, niezwiązane ze spłatą długu</t>
  </si>
  <si>
    <t>6</t>
  </si>
  <si>
    <t>Kwota długu, w tym:</t>
  </si>
  <si>
    <t>6.1</t>
  </si>
  <si>
    <t>kwota długu, którego planowana spłata dokona się z wydatków</t>
  </si>
  <si>
    <t>7</t>
  </si>
  <si>
    <t>Relacja zrównoważenia wydatków bieżących, o której mowa w art. 242 ustawy</t>
  </si>
  <si>
    <t>7.1</t>
  </si>
  <si>
    <t>Różnica między dochodami bieżącymi a wydatkami bieżącymi</t>
  </si>
  <si>
    <t>7.2</t>
  </si>
  <si>
    <t>Różnica między dochodami bieżącymi, skorygowanymi o środki, a wydatkami bieżącymi</t>
  </si>
  <si>
    <t>8</t>
  </si>
  <si>
    <t>Wskaźnik spłaty zobowiązań</t>
  </si>
  <si>
    <t>8.1</t>
  </si>
  <si>
    <t>Relacja określona po lewej stronie nierówności we wzorze, o którym mowa w art. 243 ust. 1 ustawy (po uwzględnieniu zobowiązań związku współtworzonego przez jednostkę samorządu terytorialnego oraz po uwzględnieniu ustawowych wyłączeń przypadających na dany rok)</t>
  </si>
  <si>
    <t>8.2</t>
  </si>
  <si>
    <t>Relacja określona po prawej stronie nierówności we wzorze, o którym mowa w art. 243 ust. 1 ustawy, ustalona dla danego roku (wkaźnik jednoroczny)</t>
  </si>
  <si>
    <t>8.2.x</t>
  </si>
  <si>
    <t>Wskaźnik jednoroczny określony po prawej stronie nierówności we wzorze, o którym mowa w art. 243 ust. 1 ustawy, ustalony dla danego roku (wskaźnik jednoroczny)</t>
  </si>
  <si>
    <t>8.3</t>
  </si>
  <si>
    <t>Dopuszczalny limit spłaty zobowiązań określony po prawej stronie nierówności we wzorze, o którym mowa w art. 243 ustawy, po uwzględnieniu ustawowych wyłączeń, obliczony w oparciu o plan 3. kwartału roku poprzedzającego pierwszy rok prognozy (wskaźnik ustalony w oparciu o średnią arytmetyczną z poprzednich lat)</t>
  </si>
  <si>
    <t>8.3.1</t>
  </si>
  <si>
    <t>Dopuszczalny limit spłaty zobowiązań określony po prawej stronie nierówności we wzorze, o którym mowa w art. 243 ustawy, po uwzględnieniu ustawowych wyłączeń, obliczony w oparciu o wykonanie roku poprzedzającego pierwszy rok prognozy (wskaźnik ustalony w oparciu o średnią arytmetyczną z poprzednich lat)</t>
  </si>
  <si>
    <t>8.4</t>
  </si>
  <si>
    <t>Informacja o spełnieniu wskaźnika spłaty zobowiązań określonego w art. 243 ustawy, po uwzględnieniu zobowiązań związku współtworzonego przez jednostkę samorządu terytorialnego oraz po uwzględnieniu ustawowych wyłączeń, obliczonego w oparciu o plan 3 kwartałów roku poprzedzającego rok budżetowy</t>
  </si>
  <si>
    <t>8.4.1</t>
  </si>
  <si>
    <t>Informacja o spełnieniu wskaźnika spłaty zobowiązań określonego w art. 243 ustawy, po uwzględnieniu zobowiązań związku współtworzonego przez jednostkę samorządu terytorialnego oraz po uwzględnieniu ustawowych wyłączeń, obliczonego w oparciu o wykonanie roku poprzedzającego rok budżetowy</t>
  </si>
  <si>
    <t>9</t>
  </si>
  <si>
    <t>Finansowanie programów, projektów lub zadań realizowanych z udziałem środków, o których mowa w art. 5 ust. 1 pkt 2 i 3 ustawy</t>
  </si>
  <si>
    <t>9.1</t>
  </si>
  <si>
    <t>Dochody bieżące na programy, projekty lub zadania finansowe z udziałem środków, o których mowa w art. 5 ust. 1 pkt 2 i 3 ustawy</t>
  </si>
  <si>
    <t>9.1.1</t>
  </si>
  <si>
    <t>Dotacje i środki o charakterze bieżącym na realizację programu, projektu lub zadania finansowanego z udziałem środków, o których mowa w art. 5 ust. 1 pkt 2 ustawy, w tym:</t>
  </si>
  <si>
    <t>9.1.1.1</t>
  </si>
  <si>
    <t>środki określone w art. 5 ust. 1 pkt 2 ustawy</t>
  </si>
  <si>
    <t>9.2</t>
  </si>
  <si>
    <t>Dochody majątkowe na programy, projekty lub zadania finansowe z udziałem środków, o których mowa w art. 5 ust. 1 pkt 2 i 3 ustawy</t>
  </si>
  <si>
    <t>9.2.1</t>
  </si>
  <si>
    <t>Dochody majątkowe na programy, projekty lub zadania finansowe z udziałem środków, o których mowa w art. 5 ust. 1 pkt 2 ustawy, w tym:</t>
  </si>
  <si>
    <t>9.2.1.1</t>
  </si>
  <si>
    <t>9.3</t>
  </si>
  <si>
    <t>Wydatki bieżące na programy, projekty lub zadania finansowe z udziałem środków, o których mowa w art. 5 ust. 1 pkt 2 i 3 ustawy</t>
  </si>
  <si>
    <t>9.3.1</t>
  </si>
  <si>
    <t>Wydatki bieżące na programy, projekty lub zadania finansowe z udziałem środków, o których mowa w art. 5 ust. 1 pkt 2 ustawy, w tym:</t>
  </si>
  <si>
    <t>9.3.1.1</t>
  </si>
  <si>
    <t>finansowane środkami określonymi w art. 5 ust. 1 pkt 2 ustawy</t>
  </si>
  <si>
    <t>9.4</t>
  </si>
  <si>
    <t>Wydatki majątkowe na programy, projekty lub zadania finansowe z udziałem środków, o których mowa w art. 5 ust. 1 pkt 2 i 3 ustawy</t>
  </si>
  <si>
    <t>9.4.1</t>
  </si>
  <si>
    <t>Wydatki majątkowe na programy, projekty lub zadania finansowe z udziałem środków, o których mowa w art. 5 ust. 1 pkt 2 ustawy, w tym:</t>
  </si>
  <si>
    <t>9.4.1.1</t>
  </si>
  <si>
    <t>10</t>
  </si>
  <si>
    <t>Informacje uzupełniające o wybranych kategoriach finansowych</t>
  </si>
  <si>
    <t>10.1</t>
  </si>
  <si>
    <t>Wydatki objęte limitem, o którym mowa w art. 226 ust. 3 pkt 4 ustawy, z tego:</t>
  </si>
  <si>
    <t>10.1.1</t>
  </si>
  <si>
    <t>bieżące</t>
  </si>
  <si>
    <t>10.1.2</t>
  </si>
  <si>
    <t>majątkowe</t>
  </si>
  <si>
    <t>10.2</t>
  </si>
  <si>
    <t>Wydatki bieżące na pokrycie ujemnego wyniku finansowego samodzielnego publicznego zakładu opieki zdrowotnej</t>
  </si>
  <si>
    <t>10.3</t>
  </si>
  <si>
    <t>Wydatki na spłatę zobowiązań przejmowanych w związku z likwidacją lub przekształceniem samodzielnego publicznego zakładu opieki zdrowotnej</t>
  </si>
  <si>
    <t>10.4</t>
  </si>
  <si>
    <t>Kwota zobowiązań związku współtworzonego przez jednostkę samorządu terytorialnego przypadających do spłaty w danym roku budżetowym, podlegająca doliczeniu zgodnie z art. 244 ustawy</t>
  </si>
  <si>
    <t>10.5</t>
  </si>
  <si>
    <t>Kwota zobowiązań wynikających z przejęcia przez jednostkę samorządu terytorialnego zobowiązań po likwidowanych i przekształcanych samorządowych osobach prawnych</t>
  </si>
  <si>
    <t>10.6</t>
  </si>
  <si>
    <t>Spłaty, o których mowa w poz. 5.1., wynikające wyłącznie z tytułu zobowiązań już zaciągniętych</t>
  </si>
  <si>
    <t>10.7</t>
  </si>
  <si>
    <t>Wydatki zmniejszające dług, w tym:</t>
  </si>
  <si>
    <t>10.7.1</t>
  </si>
  <si>
    <t>spłata zobowiązań wymagalnych z lat poprzednich, innych niż w poz. 10.7.3</t>
  </si>
  <si>
    <t>10.7.2</t>
  </si>
  <si>
    <t>spłata zobowiązań zaliczanych do tytułu dłużnego – kredyt i pożyczka, w tym:</t>
  </si>
  <si>
    <t>10.7.2.1</t>
  </si>
  <si>
    <t>zobowiązań zaciągniętych po dniu 1 stycznia 2019 r.</t>
  </si>
  <si>
    <t>10.7.2.1.1</t>
  </si>
  <si>
    <t>dokonywana w formie wydatku bieżącego</t>
  </si>
  <si>
    <t>10.7.3</t>
  </si>
  <si>
    <t>wypłaty z tytułu wymagalnych poręczeń i gwarancji</t>
  </si>
  <si>
    <t>10.8</t>
  </si>
  <si>
    <t>Kwota wzrostu(+)/spadku(−) kwoty długu wynikająca z operacji niekasowych (m.in. umorzenia, różnice kursowe)</t>
  </si>
  <si>
    <t>10.9</t>
  </si>
  <si>
    <t>Wcześniejsza spłata zobowiązań, wyłączona z limitu spłaty zobowiązań, dokonywana w formie wydatków budżetowych</t>
  </si>
  <si>
    <t>10.10</t>
  </si>
  <si>
    <t>Wykup papierów wartościowych, spłaty rat kredytów i pożyczek wraz z należnymi odsetkami i dyskontem, odpowiednio emitowanych lub zaciągniętych do równowartości kwoty ubytku w wykonanych dochodach jednostki samorządu terytorialnego będącego skutkiem wystąpienia COVID-19</t>
  </si>
  <si>
    <t>10.11</t>
  </si>
  <si>
    <t>Wydatki bieżące podlegające ustawowemu wyłączeniu z limitu spłaty zobowiązań</t>
  </si>
  <si>
    <t>13</t>
  </si>
  <si>
    <t>Rozliczenie budżetu</t>
  </si>
  <si>
    <t>13z</t>
  </si>
  <si>
    <t>Zdolność inwestycyjna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</si>
</sst>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8"/>
      <name val="Times New Roman"/>
    </font>
    <font>
      <b/>
      <sz val="8"/>
      <name val="Times New Roman"/>
    </font>
    <font>
      <b/>
      <sz val="8"/>
      <color rgb="FFFF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EAEAEA"/>
      </patternFill>
    </fill>
    <fill>
      <patternFill patternType="solid">
        <fgColor rgb="FFFFFFFF"/>
      </patternFill>
    </fill>
    <fill>
      <patternFill patternType="solid">
        <fgColor rgb="FFADFF2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/>
    <xf numFmtId="4" fontId="2" fillId="3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vertical="center"/>
    </xf>
    <xf numFmtId="4" fontId="1" fillId="3" borderId="1" xfId="0" applyNumberFormat="1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10" fontId="1" fillId="3" borderId="1" xfId="0" applyNumberFormat="1" applyFont="1" applyFill="1" applyBorder="1" applyAlignment="1">
      <alignment vertical="center"/>
    </xf>
    <xf numFmtId="10" fontId="1" fillId="3" borderId="1" xfId="0" applyNumberFormat="1" applyFont="1" applyFill="1" applyBorder="1" applyAlignment="1">
      <alignment vertical="center" wrapText="1"/>
    </xf>
    <xf numFmtId="10" fontId="1" fillId="3" borderId="1" xfId="0" applyNumberFormat="1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6">
    <dxf>
      <fill>
        <patternFill patternType="solid">
          <bgColor rgb="FFCD5C5C"/>
        </patternFill>
      </fill>
    </dxf>
    <dxf>
      <fill>
        <patternFill patternType="solid">
          <bgColor rgb="FFADFF2F"/>
        </patternFill>
      </fill>
    </dxf>
    <dxf>
      <fill>
        <patternFill patternType="solid">
          <bgColor rgb="FFCD5C5C"/>
        </patternFill>
      </fill>
    </dxf>
    <dxf>
      <fill>
        <patternFill patternType="solid">
          <bgColor rgb="FFADFF2F"/>
        </patternFill>
      </fill>
    </dxf>
    <dxf>
      <fill>
        <patternFill patternType="solid">
          <bgColor rgb="FFCD5C5C"/>
        </patternFill>
      </fill>
    </dxf>
    <dxf>
      <fill>
        <patternFill patternType="solid">
          <bgColor rgb="FFADFF2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8" sqref="A8:XFD8"/>
    </sheetView>
  </sheetViews>
  <sheetFormatPr defaultRowHeight="15" x14ac:dyDescent="0.25"/>
  <cols>
    <col min="1" max="1" width="8.7109375" customWidth="1"/>
    <col min="2" max="2" width="42.85546875" customWidth="1"/>
    <col min="3" max="19" width="14.28515625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4.25" customHeight="1" x14ac:dyDescent="0.25">
      <c r="A2" s="2" t="s">
        <v>19</v>
      </c>
      <c r="B2" s="3" t="s">
        <v>20</v>
      </c>
      <c r="C2" s="4">
        <f>IF(ISNUMBER(VLOOKUP("1.1",A2:S101,3,FALSE)),ROUND(VLOOKUP("1.1",A2:S101,3,FALSE),4),0) + IF(ISNUMBER(VLOOKUP("1.2",A2:S101,3,FALSE)),ROUND(VLOOKUP("1.2",A2:S101,3,FALSE),4),0)</f>
        <v>93110527.430000007</v>
      </c>
      <c r="D2" s="4">
        <f>IF(ISNUMBER(VLOOKUP("1.1",A2:S101,4,FALSE)),ROUND(VLOOKUP("1.1",A2:S101,4,FALSE),4),0) + IF(ISNUMBER(VLOOKUP("1.2",A2:S101,4,FALSE)),ROUND(VLOOKUP("1.2",A2:S101,4,FALSE),4),0)</f>
        <v>96002724.930000007</v>
      </c>
      <c r="E2" s="4">
        <f>IF(ISNUMBER(VLOOKUP("1.1",A2:S101,5,FALSE)),ROUND(VLOOKUP("1.1",A2:S101,5,FALSE),4),0) + IF(ISNUMBER(VLOOKUP("1.2",A2:S101,5,FALSE)),ROUND(VLOOKUP("1.2",A2:S101,5,FALSE),4),0)</f>
        <v>105506819</v>
      </c>
      <c r="F2" s="4">
        <f>IF(ISNUMBER(VLOOKUP("1.1",A2:S101,6,FALSE)),ROUND(VLOOKUP("1.1",A2:S101,6,FALSE),4),0) + IF(ISNUMBER(VLOOKUP("1.2",A2:S101,6,FALSE)),ROUND(VLOOKUP("1.2",A2:S101,6,FALSE),4),0)</f>
        <v>105507964.32000001</v>
      </c>
      <c r="G2" s="4">
        <f>IF(ISNUMBER(VLOOKUP("1.1",A2:S101,7,FALSE)),ROUND(VLOOKUP("1.1",A2:S101,7,FALSE),4),0) + IF(ISNUMBER(VLOOKUP("1.2",A2:S101,7,FALSE)),ROUND(VLOOKUP("1.2",A2:S101,7,FALSE),4),0)</f>
        <v>115556021.58</v>
      </c>
      <c r="H2" s="4">
        <f>IF(ISNUMBER(VLOOKUP("1.1",A2:S101,8,FALSE)),ROUND(VLOOKUP("1.1",A2:S101,8,FALSE),4),0) + IF(ISNUMBER(VLOOKUP("1.2",A2:S101,8,FALSE)),ROUND(VLOOKUP("1.2",A2:S101,8,FALSE),4),0)</f>
        <v>112249786.28</v>
      </c>
      <c r="I2" s="4">
        <f>IF(ISNUMBER(VLOOKUP("1.1",A2:S101,9,FALSE)),ROUND(VLOOKUP("1.1",A2:S101,9,FALSE),4),0) + IF(ISNUMBER(VLOOKUP("1.2",A2:S101,9,FALSE)),ROUND(VLOOKUP("1.2",A2:S101,9,FALSE),4),0)</f>
        <v>110346547.3</v>
      </c>
      <c r="J2" s="4">
        <f>IF(ISNUMBER(VLOOKUP("1.1",A2:S101,10,FALSE)),ROUND(VLOOKUP("1.1",A2:S101,10,FALSE),4),0) + IF(ISNUMBER(VLOOKUP("1.2",A2:S101,10,FALSE)),ROUND(VLOOKUP("1.2",A2:S101,10,FALSE),4),0)</f>
        <v>115687419.81</v>
      </c>
      <c r="K2" s="4">
        <f>IF(ISNUMBER(VLOOKUP("1.1",A2:S101,11,FALSE)),ROUND(VLOOKUP("1.1",A2:S101,11,FALSE),4),0) + IF(ISNUMBER(VLOOKUP("1.2",A2:S101,11,FALSE)),ROUND(VLOOKUP("1.2",A2:S101,11,FALSE),4),0)</f>
        <v>116512854.89</v>
      </c>
      <c r="L2" s="4">
        <f>IF(ISNUMBER(VLOOKUP("1.1",A2:S101,12,FALSE)),ROUND(VLOOKUP("1.1",A2:S101,12,FALSE),4),0) + IF(ISNUMBER(VLOOKUP("1.2",A2:S101,12,FALSE)),ROUND(VLOOKUP("1.2",A2:S101,12,FALSE),4),0)</f>
        <v>118135965.47</v>
      </c>
      <c r="M2" s="4">
        <f>IF(ISNUMBER(VLOOKUP("1.1",A2:S101,13,FALSE)),ROUND(VLOOKUP("1.1",A2:S101,13,FALSE),4),0) + IF(ISNUMBER(VLOOKUP("1.2",A2:S101,13,FALSE)),ROUND(VLOOKUP("1.2",A2:S101,13,FALSE),4),0)</f>
        <v>116500283</v>
      </c>
      <c r="N2" s="4">
        <f>IF(ISNUMBER(VLOOKUP("1.1",A2:S101,14,FALSE)),ROUND(VLOOKUP("1.1",A2:S101,14,FALSE),4),0) + IF(ISNUMBER(VLOOKUP("1.2",A2:S101,14,FALSE)),ROUND(VLOOKUP("1.2",A2:S101,14,FALSE),4),0)</f>
        <v>117665285</v>
      </c>
      <c r="O2" s="4">
        <f>IF(ISNUMBER(VLOOKUP("1.1",A2:S101,15,FALSE)),ROUND(VLOOKUP("1.1",A2:S101,15,FALSE),4),0) + IF(ISNUMBER(VLOOKUP("1.2",A2:S101,15,FALSE)),ROUND(VLOOKUP("1.2",A2:S101,15,FALSE),4),0)</f>
        <v>118841938</v>
      </c>
      <c r="P2" s="4">
        <f>IF(ISNUMBER(VLOOKUP("1.1",A2:S101,16,FALSE)),ROUND(VLOOKUP("1.1",A2:S101,16,FALSE),4),0) + IF(ISNUMBER(VLOOKUP("1.2",A2:S101,16,FALSE)),ROUND(VLOOKUP("1.2",A2:S101,16,FALSE),4),0)</f>
        <v>120030356</v>
      </c>
      <c r="Q2" s="4">
        <f>IF(ISNUMBER(VLOOKUP("1.1",A2:S101,17,FALSE)),ROUND(VLOOKUP("1.1",A2:S101,17,FALSE),4),0) + IF(ISNUMBER(VLOOKUP("1.2",A2:S101,17,FALSE)),ROUND(VLOOKUP("1.2",A2:S101,17,FALSE),4),0)</f>
        <v>121230661</v>
      </c>
      <c r="R2" s="4">
        <f>IF(ISNUMBER(VLOOKUP("1.1",A2:S101,18,FALSE)),ROUND(VLOOKUP("1.1",A2:S101,18,FALSE),4),0) + IF(ISNUMBER(VLOOKUP("1.2",A2:S101,18,FALSE)),ROUND(VLOOKUP("1.2",A2:S101,18,FALSE),4),0)</f>
        <v>122442967</v>
      </c>
      <c r="S2" s="4">
        <f>IF(ISNUMBER(VLOOKUP("1.1",A2:S101,19,FALSE)),ROUND(VLOOKUP("1.1",A2:S101,19,FALSE),4),0) + IF(ISNUMBER(VLOOKUP("1.2",A2:S101,19,FALSE)),ROUND(VLOOKUP("1.2",A2:S101,19,FALSE),4),0)</f>
        <v>123667396</v>
      </c>
    </row>
    <row r="3" spans="1:19" ht="14.25" customHeight="1" x14ac:dyDescent="0.25">
      <c r="A3" s="2" t="s">
        <v>21</v>
      </c>
      <c r="B3" s="3" t="s">
        <v>22</v>
      </c>
      <c r="C3" s="4">
        <f>IF(ISNUMBER(VLOOKUP("1.1.1",A2:S101,3,FALSE)),ROUND(VLOOKUP("1.1.1",A2:S101,3,FALSE),4),0) + IF(ISNUMBER(VLOOKUP("1.1.2",A2:S101,3,FALSE)),ROUND(VLOOKUP("1.1.2",A2:S101,3,FALSE),4),0) + IF(ISNUMBER(VLOOKUP("1.1.3",A2:S101,3,FALSE)),ROUND(VLOOKUP("1.1.3",A2:S101,3,FALSE),4),0) + IF(ISNUMBER(VLOOKUP("1.1.4",A2:S101,3,FALSE)),ROUND(VLOOKUP("1.1.4",A2:S101,3,FALSE),4),0) + IF(ISNUMBER(VLOOKUP("1.1.5",A2:S101,3,FALSE)),ROUND(VLOOKUP("1.1.5",A2:S101,3,FALSE),4),0) + IF(ISNA(VLOOKUP("1.1.x",A2:S101,3,FALSE)),0,ROUND(VLOOKUP("1.1.x",A2:S101,3,FALSE),4))</f>
        <v>86816391.110000014</v>
      </c>
      <c r="D3" s="4">
        <f>IF(ISNUMBER(VLOOKUP("1.1.1",A2:S101,4,FALSE)),ROUND(VLOOKUP("1.1.1",A2:S101,4,FALSE),4),0) + IF(ISNUMBER(VLOOKUP("1.1.2",A2:S101,4,FALSE)),ROUND(VLOOKUP("1.1.2",A2:S101,4,FALSE),4),0) + IF(ISNUMBER(VLOOKUP("1.1.3",A2:S101,4,FALSE)),ROUND(VLOOKUP("1.1.3",A2:S101,4,FALSE),4),0) + IF(ISNUMBER(VLOOKUP("1.1.4",A2:S101,4,FALSE)),ROUND(VLOOKUP("1.1.4",A2:S101,4,FALSE),4),0) + IF(ISNUMBER(VLOOKUP("1.1.5",A2:S101,4,FALSE)),ROUND(VLOOKUP("1.1.5",A2:S101,4,FALSE),4),0) + IF(ISNA(VLOOKUP("1.1.x",A2:S101,4,FALSE)),0,ROUND(VLOOKUP("1.1.x",A2:S101,4,FALSE),4))</f>
        <v>92164826.949999988</v>
      </c>
      <c r="E3" s="4">
        <f>IF(ISNUMBER(VLOOKUP("1.1.1",A2:S101,5,FALSE)),ROUND(VLOOKUP("1.1.1",A2:S101,5,FALSE),4),0) + IF(ISNUMBER(VLOOKUP("1.1.2",A2:S101,5,FALSE)),ROUND(VLOOKUP("1.1.2",A2:S101,5,FALSE),4),0) + IF(ISNUMBER(VLOOKUP("1.1.3",A2:S101,5,FALSE)),ROUND(VLOOKUP("1.1.3",A2:S101,5,FALSE),4),0) + IF(ISNUMBER(VLOOKUP("1.1.4",A2:S101,5,FALSE)),ROUND(VLOOKUP("1.1.4",A2:S101,5,FALSE),4),0) + IF(ISNUMBER(VLOOKUP("1.1.5",A2:S101,5,FALSE)),ROUND(VLOOKUP("1.1.5",A2:S101,5,FALSE),4),0) + IF(ISNA(VLOOKUP("1.1.x",A2:S101,5,FALSE)),0,ROUND(VLOOKUP("1.1.x",A2:S101,5,FALSE),4))</f>
        <v>100778552.49000001</v>
      </c>
      <c r="F3" s="4">
        <f>IF(ISNUMBER(VLOOKUP("1.1.1",A2:S101,6,FALSE)),ROUND(VLOOKUP("1.1.1",A2:S101,6,FALSE),4),0) + IF(ISNUMBER(VLOOKUP("1.1.2",A2:S101,6,FALSE)),ROUND(VLOOKUP("1.1.2",A2:S101,6,FALSE),4),0) + IF(ISNUMBER(VLOOKUP("1.1.3",A2:S101,6,FALSE)),ROUND(VLOOKUP("1.1.3",A2:S101,6,FALSE),4),0) + IF(ISNUMBER(VLOOKUP("1.1.4",A2:S101,6,FALSE)),ROUND(VLOOKUP("1.1.4",A2:S101,6,FALSE),4),0) + IF(ISNUMBER(VLOOKUP("1.1.5",A2:S101,6,FALSE)),ROUND(VLOOKUP("1.1.5",A2:S101,6,FALSE),4),0) + IF(ISNA(VLOOKUP("1.1.x",A2:S101,6,FALSE)),0,ROUND(VLOOKUP("1.1.x",A2:S101,6,FALSE),4))</f>
        <v>100779697.81</v>
      </c>
      <c r="G3" s="4">
        <f>IF(ISNUMBER(VLOOKUP("1.1.1",A2:S101,7,FALSE)),ROUND(VLOOKUP("1.1.1",A2:S101,7,FALSE),4),0) + IF(ISNUMBER(VLOOKUP("1.1.2",A2:S101,7,FALSE)),ROUND(VLOOKUP("1.1.2",A2:S101,7,FALSE),4),0) + IF(ISNUMBER(VLOOKUP("1.1.3",A2:S101,7,FALSE)),ROUND(VLOOKUP("1.1.3",A2:S101,7,FALSE),4),0) + IF(ISNUMBER(VLOOKUP("1.1.4",A2:S101,7,FALSE)),ROUND(VLOOKUP("1.1.4",A2:S101,7,FALSE),4),0) + IF(ISNUMBER(VLOOKUP("1.1.5",A2:S101,7,FALSE)),ROUND(VLOOKUP("1.1.5",A2:S101,7,FALSE),4),0) + IF(ISNA(VLOOKUP("1.1.x",A2:S101,7,FALSE)),0,ROUND(VLOOKUP("1.1.x",A2:S101,7,FALSE),4))</f>
        <v>101076923.81999999</v>
      </c>
      <c r="H3" s="4">
        <f>IF(ISNUMBER(VLOOKUP("1.1.1",A2:S101,8,FALSE)),ROUND(VLOOKUP("1.1.1",A2:S101,8,FALSE),4),0) + IF(ISNUMBER(VLOOKUP("1.1.2",A2:S101,8,FALSE)),ROUND(VLOOKUP("1.1.2",A2:S101,8,FALSE),4),0) + IF(ISNUMBER(VLOOKUP("1.1.3",A2:S101,8,FALSE)),ROUND(VLOOKUP("1.1.3",A2:S101,8,FALSE),4),0) + IF(ISNUMBER(VLOOKUP("1.1.4",A2:S101,8,FALSE)),ROUND(VLOOKUP("1.1.4",A2:S101,8,FALSE),4),0) + IF(ISNUMBER(VLOOKUP("1.1.5",A2:S101,8,FALSE)),ROUND(VLOOKUP("1.1.5",A2:S101,8,FALSE),4),0) + IF(ISNA(VLOOKUP("1.1.x",A2:S101,8,FALSE)),0,ROUND(VLOOKUP("1.1.x",A2:S101,8,FALSE),4))</f>
        <v>104513540</v>
      </c>
      <c r="I3" s="4">
        <f>IF(ISNUMBER(VLOOKUP("1.1.1",A2:S101,9,FALSE)),ROUND(VLOOKUP("1.1.1",A2:S101,9,FALSE),4),0) + IF(ISNUMBER(VLOOKUP("1.1.2",A2:S101,9,FALSE)),ROUND(VLOOKUP("1.1.2",A2:S101,9,FALSE),4),0) + IF(ISNUMBER(VLOOKUP("1.1.3",A2:S101,9,FALSE)),ROUND(VLOOKUP("1.1.3",A2:S101,9,FALSE),4),0) + IF(ISNUMBER(VLOOKUP("1.1.4",A2:S101,9,FALSE)),ROUND(VLOOKUP("1.1.4",A2:S101,9,FALSE),4),0) + IF(ISNUMBER(VLOOKUP("1.1.5",A2:S101,9,FALSE)),ROUND(VLOOKUP("1.1.5",A2:S101,9,FALSE),4),0) + IF(ISNA(VLOOKUP("1.1.x",A2:S101,9,FALSE)),0,ROUND(VLOOKUP("1.1.x",A2:S101,9,FALSE),4))</f>
        <v>107648946</v>
      </c>
      <c r="J3" s="4">
        <f>IF(ISNUMBER(VLOOKUP("1.1.1",A2:S101,10,FALSE)),ROUND(VLOOKUP("1.1.1",A2:S101,10,FALSE),4),0) + IF(ISNUMBER(VLOOKUP("1.1.2",A2:S101,10,FALSE)),ROUND(VLOOKUP("1.1.2",A2:S101,10,FALSE),4),0) + IF(ISNUMBER(VLOOKUP("1.1.3",A2:S101,10,FALSE)),ROUND(VLOOKUP("1.1.3",A2:S101,10,FALSE),4),0) + IF(ISNUMBER(VLOOKUP("1.1.4",A2:S101,10,FALSE)),ROUND(VLOOKUP("1.1.4",A2:S101,10,FALSE),4),0) + IF(ISNUMBER(VLOOKUP("1.1.5",A2:S101,10,FALSE)),ROUND(VLOOKUP("1.1.5",A2:S101,10,FALSE),4),0) + IF(ISNA(VLOOKUP("1.1.x",A2:S101,10,FALSE)),0,ROUND(VLOOKUP("1.1.x",A2:S101,10,FALSE),4))</f>
        <v>110878415</v>
      </c>
      <c r="K3" s="4">
        <f>IF(ISNUMBER(VLOOKUP("1.1.1",A2:S101,11,FALSE)),ROUND(VLOOKUP("1.1.1",A2:S101,11,FALSE),4),0) + IF(ISNUMBER(VLOOKUP("1.1.2",A2:S101,11,FALSE)),ROUND(VLOOKUP("1.1.2",A2:S101,11,FALSE),4),0) + IF(ISNUMBER(VLOOKUP("1.1.3",A2:S101,11,FALSE)),ROUND(VLOOKUP("1.1.3",A2:S101,11,FALSE),4),0) + IF(ISNUMBER(VLOOKUP("1.1.4",A2:S101,11,FALSE)),ROUND(VLOOKUP("1.1.4",A2:S101,11,FALSE),4),0) + IF(ISNUMBER(VLOOKUP("1.1.5",A2:S101,11,FALSE)),ROUND(VLOOKUP("1.1.5",A2:S101,11,FALSE),4),0) + IF(ISNA(VLOOKUP("1.1.x",A2:S101,11,FALSE)),0,ROUND(VLOOKUP("1.1.x",A2:S101,11,FALSE),4))</f>
        <v>114204767</v>
      </c>
      <c r="L3" s="4">
        <f>IF(ISNUMBER(VLOOKUP("1.1.1",A2:S101,12,FALSE)),ROUND(VLOOKUP("1.1.1",A2:S101,12,FALSE),4),0) + IF(ISNUMBER(VLOOKUP("1.1.2",A2:S101,12,FALSE)),ROUND(VLOOKUP("1.1.2",A2:S101,12,FALSE),4),0) + IF(ISNUMBER(VLOOKUP("1.1.3",A2:S101,12,FALSE)),ROUND(VLOOKUP("1.1.3",A2:S101,12,FALSE),4),0) + IF(ISNUMBER(VLOOKUP("1.1.4",A2:S101,12,FALSE)),ROUND(VLOOKUP("1.1.4",A2:S101,12,FALSE),4),0) + IF(ISNUMBER(VLOOKUP("1.1.5",A2:S101,12,FALSE)),ROUND(VLOOKUP("1.1.5",A2:S101,12,FALSE),4),0) + IF(ISNA(VLOOKUP("1.1.x",A2:S101,12,FALSE)),0,ROUND(VLOOKUP("1.1.x",A2:S101,12,FALSE),4))</f>
        <v>115346815</v>
      </c>
      <c r="M3" s="4">
        <f>IF(ISNUMBER(VLOOKUP("1.1.1",A2:S101,13,FALSE)),ROUND(VLOOKUP("1.1.1",A2:S101,13,FALSE),4),0) + IF(ISNUMBER(VLOOKUP("1.1.2",A2:S101,13,FALSE)),ROUND(VLOOKUP("1.1.2",A2:S101,13,FALSE),4),0) + IF(ISNUMBER(VLOOKUP("1.1.3",A2:S101,13,FALSE)),ROUND(VLOOKUP("1.1.3",A2:S101,13,FALSE),4),0) + IF(ISNUMBER(VLOOKUP("1.1.4",A2:S101,13,FALSE)),ROUND(VLOOKUP("1.1.4",A2:S101,13,FALSE),4),0) + IF(ISNUMBER(VLOOKUP("1.1.5",A2:S101,13,FALSE)),ROUND(VLOOKUP("1.1.5",A2:S101,13,FALSE),4),0) + IF(ISNA(VLOOKUP("1.1.x",A2:S101,13,FALSE)),0,ROUND(VLOOKUP("1.1.x",A2:S101,13,FALSE),4))</f>
        <v>116500283</v>
      </c>
      <c r="N3" s="4">
        <f>IF(ISNUMBER(VLOOKUP("1.1.1",A2:S101,14,FALSE)),ROUND(VLOOKUP("1.1.1",A2:S101,14,FALSE),4),0) + IF(ISNUMBER(VLOOKUP("1.1.2",A2:S101,14,FALSE)),ROUND(VLOOKUP("1.1.2",A2:S101,14,FALSE),4),0) + IF(ISNUMBER(VLOOKUP("1.1.3",A2:S101,14,FALSE)),ROUND(VLOOKUP("1.1.3",A2:S101,14,FALSE),4),0) + IF(ISNUMBER(VLOOKUP("1.1.4",A2:S101,14,FALSE)),ROUND(VLOOKUP("1.1.4",A2:S101,14,FALSE),4),0) + IF(ISNUMBER(VLOOKUP("1.1.5",A2:S101,14,FALSE)),ROUND(VLOOKUP("1.1.5",A2:S101,14,FALSE),4),0) + IF(ISNA(VLOOKUP("1.1.x",A2:S101,14,FALSE)),0,ROUND(VLOOKUP("1.1.x",A2:S101,14,FALSE),4))</f>
        <v>117665285</v>
      </c>
      <c r="O3" s="4">
        <f>IF(ISNUMBER(VLOOKUP("1.1.1",A2:S101,15,FALSE)),ROUND(VLOOKUP("1.1.1",A2:S101,15,FALSE),4),0) + IF(ISNUMBER(VLOOKUP("1.1.2",A2:S101,15,FALSE)),ROUND(VLOOKUP("1.1.2",A2:S101,15,FALSE),4),0) + IF(ISNUMBER(VLOOKUP("1.1.3",A2:S101,15,FALSE)),ROUND(VLOOKUP("1.1.3",A2:S101,15,FALSE),4),0) + IF(ISNUMBER(VLOOKUP("1.1.4",A2:S101,15,FALSE)),ROUND(VLOOKUP("1.1.4",A2:S101,15,FALSE),4),0) + IF(ISNUMBER(VLOOKUP("1.1.5",A2:S101,15,FALSE)),ROUND(VLOOKUP("1.1.5",A2:S101,15,FALSE),4),0) + IF(ISNA(VLOOKUP("1.1.x",A2:S101,15,FALSE)),0,ROUND(VLOOKUP("1.1.x",A2:S101,15,FALSE),4))</f>
        <v>118841938</v>
      </c>
      <c r="P3" s="4">
        <f>IF(ISNUMBER(VLOOKUP("1.1.1",A2:S101,16,FALSE)),ROUND(VLOOKUP("1.1.1",A2:S101,16,FALSE),4),0) + IF(ISNUMBER(VLOOKUP("1.1.2",A2:S101,16,FALSE)),ROUND(VLOOKUP("1.1.2",A2:S101,16,FALSE),4),0) + IF(ISNUMBER(VLOOKUP("1.1.3",A2:S101,16,FALSE)),ROUND(VLOOKUP("1.1.3",A2:S101,16,FALSE),4),0) + IF(ISNUMBER(VLOOKUP("1.1.4",A2:S101,16,FALSE)),ROUND(VLOOKUP("1.1.4",A2:S101,16,FALSE),4),0) + IF(ISNUMBER(VLOOKUP("1.1.5",A2:S101,16,FALSE)),ROUND(VLOOKUP("1.1.5",A2:S101,16,FALSE),4),0) + IF(ISNA(VLOOKUP("1.1.x",A2:S101,16,FALSE)),0,ROUND(VLOOKUP("1.1.x",A2:S101,16,FALSE),4))</f>
        <v>120030356</v>
      </c>
      <c r="Q3" s="4">
        <f>IF(ISNUMBER(VLOOKUP("1.1.1",A2:S101,17,FALSE)),ROUND(VLOOKUP("1.1.1",A2:S101,17,FALSE),4),0) + IF(ISNUMBER(VLOOKUP("1.1.2",A2:S101,17,FALSE)),ROUND(VLOOKUP("1.1.2",A2:S101,17,FALSE),4),0) + IF(ISNUMBER(VLOOKUP("1.1.3",A2:S101,17,FALSE)),ROUND(VLOOKUP("1.1.3",A2:S101,17,FALSE),4),0) + IF(ISNUMBER(VLOOKUP("1.1.4",A2:S101,17,FALSE)),ROUND(VLOOKUP("1.1.4",A2:S101,17,FALSE),4),0) + IF(ISNUMBER(VLOOKUP("1.1.5",A2:S101,17,FALSE)),ROUND(VLOOKUP("1.1.5",A2:S101,17,FALSE),4),0) + IF(ISNA(VLOOKUP("1.1.x",A2:S101,17,FALSE)),0,ROUND(VLOOKUP("1.1.x",A2:S101,17,FALSE),4))</f>
        <v>121230661</v>
      </c>
      <c r="R3" s="4">
        <f>IF(ISNUMBER(VLOOKUP("1.1.1",A2:S101,18,FALSE)),ROUND(VLOOKUP("1.1.1",A2:S101,18,FALSE),4),0) + IF(ISNUMBER(VLOOKUP("1.1.2",A2:S101,18,FALSE)),ROUND(VLOOKUP("1.1.2",A2:S101,18,FALSE),4),0) + IF(ISNUMBER(VLOOKUP("1.1.3",A2:S101,18,FALSE)),ROUND(VLOOKUP("1.1.3",A2:S101,18,FALSE),4),0) + IF(ISNUMBER(VLOOKUP("1.1.4",A2:S101,18,FALSE)),ROUND(VLOOKUP("1.1.4",A2:S101,18,FALSE),4),0) + IF(ISNUMBER(VLOOKUP("1.1.5",A2:S101,18,FALSE)),ROUND(VLOOKUP("1.1.5",A2:S101,18,FALSE),4),0) + IF(ISNA(VLOOKUP("1.1.x",A2:S101,18,FALSE)),0,ROUND(VLOOKUP("1.1.x",A2:S101,18,FALSE),4))</f>
        <v>122442967</v>
      </c>
      <c r="S3" s="4">
        <f>IF(ISNUMBER(VLOOKUP("1.1.1",A2:S101,19,FALSE)),ROUND(VLOOKUP("1.1.1",A2:S101,19,FALSE),4),0) + IF(ISNUMBER(VLOOKUP("1.1.2",A2:S101,19,FALSE)),ROUND(VLOOKUP("1.1.2",A2:S101,19,FALSE),4),0) + IF(ISNUMBER(VLOOKUP("1.1.3",A2:S101,19,FALSE)),ROUND(VLOOKUP("1.1.3",A2:S101,19,FALSE),4),0) + IF(ISNUMBER(VLOOKUP("1.1.4",A2:S101,19,FALSE)),ROUND(VLOOKUP("1.1.4",A2:S101,19,FALSE),4),0) + IF(ISNUMBER(VLOOKUP("1.1.5",A2:S101,19,FALSE)),ROUND(VLOOKUP("1.1.5",A2:S101,19,FALSE),4),0) + IF(ISNA(VLOOKUP("1.1.x",A2:S101,19,FALSE)),0,ROUND(VLOOKUP("1.1.x",A2:S101,19,FALSE),4))</f>
        <v>123667396</v>
      </c>
    </row>
    <row r="4" spans="1:19" ht="27" customHeight="1" x14ac:dyDescent="0.25">
      <c r="A4" s="5" t="s">
        <v>23</v>
      </c>
      <c r="B4" s="6" t="s">
        <v>24</v>
      </c>
      <c r="C4" s="7">
        <v>13716961</v>
      </c>
      <c r="D4" s="7">
        <v>14389323</v>
      </c>
      <c r="E4" s="7">
        <v>14755040</v>
      </c>
      <c r="F4" s="7">
        <v>14755040</v>
      </c>
      <c r="G4" s="8">
        <v>14343460</v>
      </c>
      <c r="H4" s="8">
        <v>14831138</v>
      </c>
      <c r="I4" s="8">
        <v>15276072</v>
      </c>
      <c r="J4" s="8">
        <v>15734354</v>
      </c>
      <c r="K4" s="8">
        <v>16206385</v>
      </c>
      <c r="L4" s="8">
        <v>16368449</v>
      </c>
      <c r="M4" s="8">
        <v>16532133</v>
      </c>
      <c r="N4" s="8">
        <v>16697454</v>
      </c>
      <c r="O4" s="8">
        <v>16864429</v>
      </c>
      <c r="P4" s="8">
        <v>17033073</v>
      </c>
      <c r="Q4" s="8">
        <v>17203404</v>
      </c>
      <c r="R4" s="8">
        <v>17375438</v>
      </c>
      <c r="S4" s="8">
        <v>17549192</v>
      </c>
    </row>
    <row r="5" spans="1:19" ht="27" customHeight="1" x14ac:dyDescent="0.25">
      <c r="A5" s="5" t="s">
        <v>25</v>
      </c>
      <c r="B5" s="6" t="s">
        <v>26</v>
      </c>
      <c r="C5" s="7">
        <v>282284.95</v>
      </c>
      <c r="D5" s="7">
        <v>304571.23</v>
      </c>
      <c r="E5" s="7">
        <v>300000</v>
      </c>
      <c r="F5" s="7">
        <v>300000</v>
      </c>
      <c r="G5" s="8">
        <v>308000</v>
      </c>
      <c r="H5" s="8">
        <v>318472</v>
      </c>
      <c r="I5" s="8">
        <v>328026</v>
      </c>
      <c r="J5" s="8">
        <v>337867</v>
      </c>
      <c r="K5" s="8">
        <v>348003</v>
      </c>
      <c r="L5" s="8">
        <v>351483</v>
      </c>
      <c r="M5" s="8">
        <v>354998</v>
      </c>
      <c r="N5" s="8">
        <v>358548</v>
      </c>
      <c r="O5" s="8">
        <v>362133</v>
      </c>
      <c r="P5" s="8">
        <v>365754</v>
      </c>
      <c r="Q5" s="8">
        <v>369412</v>
      </c>
      <c r="R5" s="8">
        <v>373106</v>
      </c>
      <c r="S5" s="8">
        <v>376837</v>
      </c>
    </row>
    <row r="6" spans="1:19" ht="14.25" customHeight="1" x14ac:dyDescent="0.25">
      <c r="A6" s="5" t="s">
        <v>27</v>
      </c>
      <c r="B6" s="6" t="s">
        <v>28</v>
      </c>
      <c r="C6" s="7">
        <v>21427319</v>
      </c>
      <c r="D6" s="7">
        <v>21835240</v>
      </c>
      <c r="E6" s="7">
        <v>22898927</v>
      </c>
      <c r="F6" s="7">
        <v>22898927</v>
      </c>
      <c r="G6" s="8">
        <v>24288114</v>
      </c>
      <c r="H6" s="8">
        <v>25113910</v>
      </c>
      <c r="I6" s="8">
        <v>25867327</v>
      </c>
      <c r="J6" s="8">
        <v>26643347</v>
      </c>
      <c r="K6" s="8">
        <v>27442647</v>
      </c>
      <c r="L6" s="8">
        <v>27717073</v>
      </c>
      <c r="M6" s="8">
        <v>27994244</v>
      </c>
      <c r="N6" s="8">
        <v>28274186</v>
      </c>
      <c r="O6" s="8">
        <v>28556928</v>
      </c>
      <c r="P6" s="8">
        <v>28842497</v>
      </c>
      <c r="Q6" s="8">
        <v>29130922</v>
      </c>
      <c r="R6" s="8">
        <v>29422231</v>
      </c>
      <c r="S6" s="8">
        <v>29716453</v>
      </c>
    </row>
    <row r="7" spans="1:19" ht="14.25" customHeight="1" x14ac:dyDescent="0.25">
      <c r="A7" s="5" t="s">
        <v>29</v>
      </c>
      <c r="B7" s="6" t="s">
        <v>30</v>
      </c>
      <c r="C7" s="7">
        <v>28621222.010000002</v>
      </c>
      <c r="D7" s="7">
        <v>31256927.93</v>
      </c>
      <c r="E7" s="7">
        <v>37079682.520000003</v>
      </c>
      <c r="F7" s="7">
        <v>37080827.840000004</v>
      </c>
      <c r="G7" s="8">
        <v>35101224</v>
      </c>
      <c r="H7" s="8">
        <v>36191266</v>
      </c>
      <c r="I7" s="8">
        <v>37277004</v>
      </c>
      <c r="J7" s="8">
        <v>38395314</v>
      </c>
      <c r="K7" s="8">
        <v>39547173</v>
      </c>
      <c r="L7" s="8">
        <v>39942645</v>
      </c>
      <c r="M7" s="8">
        <v>40342071</v>
      </c>
      <c r="N7" s="8">
        <v>40745492</v>
      </c>
      <c r="O7" s="8">
        <v>41152947</v>
      </c>
      <c r="P7" s="8">
        <v>41564476</v>
      </c>
      <c r="Q7" s="8">
        <v>41980121</v>
      </c>
      <c r="R7" s="8">
        <v>42399922</v>
      </c>
      <c r="S7" s="8">
        <v>42823921</v>
      </c>
    </row>
    <row r="8" spans="1:19" ht="14.25" customHeight="1" x14ac:dyDescent="0.25">
      <c r="A8" s="5" t="s">
        <v>31</v>
      </c>
      <c r="B8" s="6" t="s">
        <v>32</v>
      </c>
      <c r="C8" s="7">
        <v>22768604.149999999</v>
      </c>
      <c r="D8" s="7">
        <v>24378764.789999999</v>
      </c>
      <c r="E8" s="7">
        <v>25744902.969999999</v>
      </c>
      <c r="F8" s="7">
        <v>25744902.969999999</v>
      </c>
      <c r="G8" s="8">
        <v>27036125.82</v>
      </c>
      <c r="H8" s="8">
        <v>28058754</v>
      </c>
      <c r="I8" s="8">
        <v>28900517</v>
      </c>
      <c r="J8" s="8">
        <v>29767533</v>
      </c>
      <c r="K8" s="8">
        <v>30660559</v>
      </c>
      <c r="L8" s="8">
        <v>30967165</v>
      </c>
      <c r="M8" s="8">
        <v>31276837</v>
      </c>
      <c r="N8" s="8">
        <v>31589605</v>
      </c>
      <c r="O8" s="8">
        <v>31905501</v>
      </c>
      <c r="P8" s="8">
        <v>32224556</v>
      </c>
      <c r="Q8" s="8">
        <v>32546802</v>
      </c>
      <c r="R8" s="8">
        <v>32872270</v>
      </c>
      <c r="S8" s="8">
        <v>33200993</v>
      </c>
    </row>
    <row r="9" spans="1:19" ht="14.25" customHeight="1" x14ac:dyDescent="0.25">
      <c r="A9" s="5" t="s">
        <v>33</v>
      </c>
      <c r="B9" s="6" t="s">
        <v>34</v>
      </c>
      <c r="C9" s="7">
        <v>9721157.6999999993</v>
      </c>
      <c r="D9" s="7">
        <v>10118824.15</v>
      </c>
      <c r="E9" s="7">
        <v>10100000</v>
      </c>
      <c r="F9" s="7">
        <v>10100000</v>
      </c>
      <c r="G9" s="8">
        <v>10800000</v>
      </c>
      <c r="H9" s="8">
        <v>11167200</v>
      </c>
      <c r="I9" s="8">
        <v>11502216</v>
      </c>
      <c r="J9" s="8">
        <v>11847282</v>
      </c>
      <c r="K9" s="8">
        <v>12202700</v>
      </c>
      <c r="L9" s="8">
        <v>12324727</v>
      </c>
      <c r="M9" s="8">
        <v>12447974</v>
      </c>
      <c r="N9" s="8">
        <v>12572454</v>
      </c>
      <c r="O9" s="8">
        <v>12698179</v>
      </c>
      <c r="P9" s="8">
        <v>12825161</v>
      </c>
      <c r="Q9" s="8">
        <v>12953413</v>
      </c>
      <c r="R9" s="8">
        <v>13082947</v>
      </c>
      <c r="S9" s="8">
        <v>13213776</v>
      </c>
    </row>
    <row r="10" spans="1:19" hidden="1" x14ac:dyDescent="0.25">
      <c r="A10" s="5" t="s">
        <v>35</v>
      </c>
      <c r="B10" s="6" t="s">
        <v>36</v>
      </c>
      <c r="C10" s="7">
        <v>0</v>
      </c>
      <c r="D10" s="7">
        <v>0</v>
      </c>
      <c r="E10" s="7">
        <v>0</v>
      </c>
      <c r="F10" s="7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</row>
    <row r="11" spans="1:19" ht="14.25" customHeight="1" x14ac:dyDescent="0.25">
      <c r="A11" s="2" t="s">
        <v>37</v>
      </c>
      <c r="B11" s="3" t="s">
        <v>38</v>
      </c>
      <c r="C11" s="4">
        <f>IF(ISNUMBER(VLOOKUP("1.2.1",A2:S101,3,FALSE)),ROUND(VLOOKUP("1.2.1",A2:S101,3,FALSE),4),0) + IF(ISNUMBER(VLOOKUP("1.2.2",A2:S101,3,FALSE)),ROUND(VLOOKUP("1.2.2",A2:S101,3,FALSE),4),0) + IF(ISNUMBER(VLOOKUP("1.2.x",A2:S101,3,FALSE)),ROUND(VLOOKUP("1.2.x",A2:S101,3,FALSE),4),0)</f>
        <v>6294136.3200000003</v>
      </c>
      <c r="D11" s="4">
        <f>IF(ISNUMBER(VLOOKUP("1.2.1",A2:S101,4,FALSE)),ROUND(VLOOKUP("1.2.1",A2:S101,4,FALSE),4),0) + IF(ISNUMBER(VLOOKUP("1.2.2",A2:S101,4,FALSE)),ROUND(VLOOKUP("1.2.2",A2:S101,4,FALSE),4),0) + IF(ISNUMBER(VLOOKUP("1.2.x",A2:S101,4,FALSE)),ROUND(VLOOKUP("1.2.x",A2:S101,4,FALSE),4),0)</f>
        <v>3837897.9800000004</v>
      </c>
      <c r="E11" s="4">
        <f>IF(ISNUMBER(VLOOKUP("1.2.1",A2:S101,5,FALSE)),ROUND(VLOOKUP("1.2.1",A2:S101,5,FALSE),4),0) + IF(ISNUMBER(VLOOKUP("1.2.2",A2:S101,5,FALSE)),ROUND(VLOOKUP("1.2.2",A2:S101,5,FALSE),4),0) + IF(ISNUMBER(VLOOKUP("1.2.x",A2:S101,5,FALSE)),ROUND(VLOOKUP("1.2.x",A2:S101,5,FALSE),4),0)</f>
        <v>4728266.51</v>
      </c>
      <c r="F11" s="4">
        <f>IF(ISNUMBER(VLOOKUP("1.2.1",A2:S101,6,FALSE)),ROUND(VLOOKUP("1.2.1",A2:S101,6,FALSE),4),0) + IF(ISNUMBER(VLOOKUP("1.2.2",A2:S101,6,FALSE)),ROUND(VLOOKUP("1.2.2",A2:S101,6,FALSE),4),0) + IF(ISNUMBER(VLOOKUP("1.2.x",A2:S101,6,FALSE)),ROUND(VLOOKUP("1.2.x",A2:S101,6,FALSE),4),0)</f>
        <v>4728266.51</v>
      </c>
      <c r="G11" s="4">
        <f>IF(ISNUMBER(VLOOKUP("1.2.1",A2:S101,7,FALSE)),ROUND(VLOOKUP("1.2.1",A2:S101,7,FALSE),4),0) + IF(ISNUMBER(VLOOKUP("1.2.2",A2:S101,7,FALSE)),ROUND(VLOOKUP("1.2.2",A2:S101,7,FALSE),4),0) + IF(ISNUMBER(VLOOKUP("1.2.x",A2:S101,7,FALSE)),ROUND(VLOOKUP("1.2.x",A2:S101,7,FALSE),4),0)</f>
        <v>14479097.76</v>
      </c>
      <c r="H11" s="4">
        <f>IF(ISNUMBER(VLOOKUP("1.2.1",A2:S101,8,FALSE)),ROUND(VLOOKUP("1.2.1",A2:S101,8,FALSE),4),0) + IF(ISNUMBER(VLOOKUP("1.2.2",A2:S101,8,FALSE)),ROUND(VLOOKUP("1.2.2",A2:S101,8,FALSE),4),0) + IF(ISNUMBER(VLOOKUP("1.2.x",A2:S101,8,FALSE)),ROUND(VLOOKUP("1.2.x",A2:S101,8,FALSE),4),0)</f>
        <v>7736246.2800000003</v>
      </c>
      <c r="I11" s="4">
        <f>IF(ISNUMBER(VLOOKUP("1.2.1",A2:S101,9,FALSE)),ROUND(VLOOKUP("1.2.1",A2:S101,9,FALSE),4),0) + IF(ISNUMBER(VLOOKUP("1.2.2",A2:S101,9,FALSE)),ROUND(VLOOKUP("1.2.2",A2:S101,9,FALSE),4),0) + IF(ISNUMBER(VLOOKUP("1.2.x",A2:S101,9,FALSE)),ROUND(VLOOKUP("1.2.x",A2:S101,9,FALSE),4),0)</f>
        <v>2697601.3</v>
      </c>
      <c r="J11" s="4">
        <f>IF(ISNUMBER(VLOOKUP("1.2.1",A2:S101,10,FALSE)),ROUND(VLOOKUP("1.2.1",A2:S101,10,FALSE),4),0) + IF(ISNUMBER(VLOOKUP("1.2.2",A2:S101,10,FALSE)),ROUND(VLOOKUP("1.2.2",A2:S101,10,FALSE),4),0) + IF(ISNUMBER(VLOOKUP("1.2.x",A2:S101,10,FALSE)),ROUND(VLOOKUP("1.2.x",A2:S101,10,FALSE),4),0)</f>
        <v>4809004.8100000005</v>
      </c>
      <c r="K11" s="4">
        <f>IF(ISNUMBER(VLOOKUP("1.2.1",A2:S101,11,FALSE)),ROUND(VLOOKUP("1.2.1",A2:S101,11,FALSE),4),0) + IF(ISNUMBER(VLOOKUP("1.2.2",A2:S101,11,FALSE)),ROUND(VLOOKUP("1.2.2",A2:S101,11,FALSE),4),0) + IF(ISNUMBER(VLOOKUP("1.2.x",A2:S101,11,FALSE)),ROUND(VLOOKUP("1.2.x",A2:S101,11,FALSE),4),0)</f>
        <v>2308087.8899999997</v>
      </c>
      <c r="L11" s="4">
        <f>IF(ISNUMBER(VLOOKUP("1.2.1",A2:S101,12,FALSE)),ROUND(VLOOKUP("1.2.1",A2:S101,12,FALSE),4),0) + IF(ISNUMBER(VLOOKUP("1.2.2",A2:S101,12,FALSE)),ROUND(VLOOKUP("1.2.2",A2:S101,12,FALSE),4),0) + IF(ISNUMBER(VLOOKUP("1.2.x",A2:S101,12,FALSE)),ROUND(VLOOKUP("1.2.x",A2:S101,12,FALSE),4),0)</f>
        <v>2789150.47</v>
      </c>
      <c r="M11" s="4">
        <f>IF(ISNUMBER(VLOOKUP("1.2.1",A2:S101,13,FALSE)),ROUND(VLOOKUP("1.2.1",A2:S101,13,FALSE),4),0) + IF(ISNUMBER(VLOOKUP("1.2.2",A2:S101,13,FALSE)),ROUND(VLOOKUP("1.2.2",A2:S101,13,FALSE),4),0) + IF(ISNUMBER(VLOOKUP("1.2.x",A2:S101,13,FALSE)),ROUND(VLOOKUP("1.2.x",A2:S101,13,FALSE),4),0)</f>
        <v>0</v>
      </c>
      <c r="N11" s="4">
        <f>IF(ISNUMBER(VLOOKUP("1.2.1",A2:S101,14,FALSE)),ROUND(VLOOKUP("1.2.1",A2:S101,14,FALSE),4),0) + IF(ISNUMBER(VLOOKUP("1.2.2",A2:S101,14,FALSE)),ROUND(VLOOKUP("1.2.2",A2:S101,14,FALSE),4),0) + IF(ISNUMBER(VLOOKUP("1.2.x",A2:S101,14,FALSE)),ROUND(VLOOKUP("1.2.x",A2:S101,14,FALSE),4),0)</f>
        <v>0</v>
      </c>
      <c r="O11" s="4">
        <f>IF(ISNUMBER(VLOOKUP("1.2.1",A2:S101,15,FALSE)),ROUND(VLOOKUP("1.2.1",A2:S101,15,FALSE),4),0) + IF(ISNUMBER(VLOOKUP("1.2.2",A2:S101,15,FALSE)),ROUND(VLOOKUP("1.2.2",A2:S101,15,FALSE),4),0) + IF(ISNUMBER(VLOOKUP("1.2.x",A2:S101,15,FALSE)),ROUND(VLOOKUP("1.2.x",A2:S101,15,FALSE),4),0)</f>
        <v>0</v>
      </c>
      <c r="P11" s="4">
        <f>IF(ISNUMBER(VLOOKUP("1.2.1",A2:S101,16,FALSE)),ROUND(VLOOKUP("1.2.1",A2:S101,16,FALSE),4),0) + IF(ISNUMBER(VLOOKUP("1.2.2",A2:S101,16,FALSE)),ROUND(VLOOKUP("1.2.2",A2:S101,16,FALSE),4),0) + IF(ISNUMBER(VLOOKUP("1.2.x",A2:S101,16,FALSE)),ROUND(VLOOKUP("1.2.x",A2:S101,16,FALSE),4),0)</f>
        <v>0</v>
      </c>
      <c r="Q11" s="4">
        <f>IF(ISNUMBER(VLOOKUP("1.2.1",A2:S101,17,FALSE)),ROUND(VLOOKUP("1.2.1",A2:S101,17,FALSE),4),0) + IF(ISNUMBER(VLOOKUP("1.2.2",A2:S101,17,FALSE)),ROUND(VLOOKUP("1.2.2",A2:S101,17,FALSE),4),0) + IF(ISNUMBER(VLOOKUP("1.2.x",A2:S101,17,FALSE)),ROUND(VLOOKUP("1.2.x",A2:S101,17,FALSE),4),0)</f>
        <v>0</v>
      </c>
      <c r="R11" s="4">
        <f>IF(ISNUMBER(VLOOKUP("1.2.1",A2:S101,18,FALSE)),ROUND(VLOOKUP("1.2.1",A2:S101,18,FALSE),4),0) + IF(ISNUMBER(VLOOKUP("1.2.2",A2:S101,18,FALSE)),ROUND(VLOOKUP("1.2.2",A2:S101,18,FALSE),4),0) + IF(ISNUMBER(VLOOKUP("1.2.x",A2:S101,18,FALSE)),ROUND(VLOOKUP("1.2.x",A2:S101,18,FALSE),4),0)</f>
        <v>0</v>
      </c>
      <c r="S11" s="4">
        <f>IF(ISNUMBER(VLOOKUP("1.2.1",A2:S101,19,FALSE)),ROUND(VLOOKUP("1.2.1",A2:S101,19,FALSE),4),0) + IF(ISNUMBER(VLOOKUP("1.2.2",A2:S101,19,FALSE)),ROUND(VLOOKUP("1.2.2",A2:S101,19,FALSE),4),0) + IF(ISNUMBER(VLOOKUP("1.2.x",A2:S101,19,FALSE)),ROUND(VLOOKUP("1.2.x",A2:S101,19,FALSE),4),0)</f>
        <v>0</v>
      </c>
    </row>
    <row r="12" spans="1:19" ht="14.25" customHeight="1" x14ac:dyDescent="0.25">
      <c r="A12" s="5" t="s">
        <v>39</v>
      </c>
      <c r="B12" s="6" t="s">
        <v>40</v>
      </c>
      <c r="C12" s="7">
        <v>1723845.5</v>
      </c>
      <c r="D12" s="7">
        <v>2386101.79</v>
      </c>
      <c r="E12" s="7">
        <v>1153331.95</v>
      </c>
      <c r="F12" s="7">
        <v>1153331.95</v>
      </c>
      <c r="G12" s="8">
        <v>2546800</v>
      </c>
      <c r="H12" s="8">
        <v>1005254</v>
      </c>
      <c r="I12" s="8">
        <v>1000000</v>
      </c>
      <c r="J12" s="8">
        <v>1000000</v>
      </c>
      <c r="K12" s="8">
        <v>500000</v>
      </c>
      <c r="L12" s="8">
        <v>500000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</row>
    <row r="13" spans="1:19" ht="14.25" customHeight="1" x14ac:dyDescent="0.25">
      <c r="A13" s="5" t="s">
        <v>41</v>
      </c>
      <c r="B13" s="6" t="s">
        <v>42</v>
      </c>
      <c r="C13" s="7">
        <v>4540850.82</v>
      </c>
      <c r="D13" s="7">
        <v>1434188.03</v>
      </c>
      <c r="E13" s="7">
        <v>3526934.56</v>
      </c>
      <c r="F13" s="7">
        <v>3526934.56</v>
      </c>
      <c r="G13" s="8">
        <v>11882297.76</v>
      </c>
      <c r="H13" s="8">
        <v>6680562.2800000003</v>
      </c>
      <c r="I13" s="8">
        <v>1647601.3</v>
      </c>
      <c r="J13" s="8">
        <v>3759004.81</v>
      </c>
      <c r="K13" s="8">
        <v>1758087.89</v>
      </c>
      <c r="L13" s="8">
        <v>2239150.4700000002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</row>
    <row r="14" spans="1:19" hidden="1" x14ac:dyDescent="0.25">
      <c r="A14" s="5" t="s">
        <v>43</v>
      </c>
      <c r="B14" s="6" t="s">
        <v>36</v>
      </c>
      <c r="C14" s="7">
        <v>29440</v>
      </c>
      <c r="D14" s="7">
        <v>17608.16</v>
      </c>
      <c r="E14" s="7">
        <v>48000</v>
      </c>
      <c r="F14" s="7">
        <v>48000</v>
      </c>
      <c r="G14" s="8">
        <v>50000</v>
      </c>
      <c r="H14" s="8">
        <v>50430</v>
      </c>
      <c r="I14" s="8">
        <v>50000</v>
      </c>
      <c r="J14" s="8">
        <v>50000</v>
      </c>
      <c r="K14" s="8">
        <v>50000</v>
      </c>
      <c r="L14" s="8">
        <v>50000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</row>
    <row r="15" spans="1:19" ht="14.25" customHeight="1" x14ac:dyDescent="0.25">
      <c r="A15" s="2" t="s">
        <v>44</v>
      </c>
      <c r="B15" s="3" t="s">
        <v>45</v>
      </c>
      <c r="C15" s="4">
        <f>IF(ISNUMBER(VLOOKUP("2.1",A2:S101,3,FALSE)),ROUND(VLOOKUP("2.1",A2:S101,3,FALSE),4),0) + IF(ISNUMBER(VLOOKUP("2.2",A2:S101,3,FALSE)),ROUND(VLOOKUP("2.2",A2:S101,3,FALSE),4),0)</f>
        <v>94094959.649999991</v>
      </c>
      <c r="D15" s="4">
        <f>IF(ISNUMBER(VLOOKUP("2.1",A2:S101,4,FALSE)),ROUND(VLOOKUP("2.1",A2:S101,4,FALSE),4),0) + IF(ISNUMBER(VLOOKUP("2.2",A2:S101,4,FALSE)),ROUND(VLOOKUP("2.2",A2:S101,4,FALSE),4),0)</f>
        <v>93297223.479999989</v>
      </c>
      <c r="E15" s="4">
        <f>IF(ISNUMBER(VLOOKUP("2.1",A2:S101,5,FALSE)),ROUND(VLOOKUP("2.1",A2:S101,5,FALSE),4),0) + IF(ISNUMBER(VLOOKUP("2.2",A2:S101,5,FALSE)),ROUND(VLOOKUP("2.2",A2:S101,5,FALSE),4),0)</f>
        <v>102865023.91</v>
      </c>
      <c r="F15" s="4">
        <f>IF(ISNUMBER(VLOOKUP("2.1",A2:S101,6,FALSE)),ROUND(VLOOKUP("2.1",A2:S101,6,FALSE),4),0) + IF(ISNUMBER(VLOOKUP("2.2",A2:S101,6,FALSE)),ROUND(VLOOKUP("2.2",A2:S101,6,FALSE),4),0)</f>
        <v>102866169.22999999</v>
      </c>
      <c r="G15" s="4">
        <f>IF(ISNUMBER(VLOOKUP("2.1",A2:S101,7,FALSE)),ROUND(VLOOKUP("2.1",A2:S101,7,FALSE),4),0) + IF(ISNUMBER(VLOOKUP("2.2",A2:S101,7,FALSE)),ROUND(VLOOKUP("2.2",A2:S101,7,FALSE),4),0)</f>
        <v>112082581.58</v>
      </c>
      <c r="H15" s="4">
        <f>IF(ISNUMBER(VLOOKUP("2.1",A2:S101,8,FALSE)),ROUND(VLOOKUP("2.1",A2:S101,8,FALSE),4),0) + IF(ISNUMBER(VLOOKUP("2.2",A2:S101,8,FALSE)),ROUND(VLOOKUP("2.2",A2:S101,8,FALSE),4),0)</f>
        <v>113376346.28</v>
      </c>
      <c r="I15" s="4">
        <f>IF(ISNUMBER(VLOOKUP("2.1",A2:S101,9,FALSE)),ROUND(VLOOKUP("2.1",A2:S101,9,FALSE),4),0) + IF(ISNUMBER(VLOOKUP("2.2",A2:S101,9,FALSE)),ROUND(VLOOKUP("2.2",A2:S101,9,FALSE),4),0)</f>
        <v>105933380.15000001</v>
      </c>
      <c r="J15" s="4">
        <f>IF(ISNUMBER(VLOOKUP("2.1",A2:S101,10,FALSE)),ROUND(VLOOKUP("2.1",A2:S101,10,FALSE),4),0) + IF(ISNUMBER(VLOOKUP("2.2",A2:S101,10,FALSE)),ROUND(VLOOKUP("2.2",A2:S101,10,FALSE),4),0)</f>
        <v>111487419.81</v>
      </c>
      <c r="K15" s="4">
        <f>IF(ISNUMBER(VLOOKUP("2.1",A2:S101,11,FALSE)),ROUND(VLOOKUP("2.1",A2:S101,11,FALSE),4),0) + IF(ISNUMBER(VLOOKUP("2.2",A2:S101,11,FALSE)),ROUND(VLOOKUP("2.2",A2:S101,11,FALSE),4),0)</f>
        <v>112012854.89</v>
      </c>
      <c r="L15" s="4">
        <f>IF(ISNUMBER(VLOOKUP("2.1",A2:S101,12,FALSE)),ROUND(VLOOKUP("2.1",A2:S101,12,FALSE),4),0) + IF(ISNUMBER(VLOOKUP("2.2",A2:S101,12,FALSE)),ROUND(VLOOKUP("2.2",A2:S101,12,FALSE),4),0)</f>
        <v>113335965.47</v>
      </c>
      <c r="M15" s="4">
        <f>IF(ISNUMBER(VLOOKUP("2.1",A2:S101,13,FALSE)),ROUND(VLOOKUP("2.1",A2:S101,13,FALSE),4),0) + IF(ISNUMBER(VLOOKUP("2.2",A2:S101,13,FALSE)),ROUND(VLOOKUP("2.2",A2:S101,13,FALSE),4),0)</f>
        <v>111500283</v>
      </c>
      <c r="N15" s="4">
        <f>IF(ISNUMBER(VLOOKUP("2.1",A2:S101,14,FALSE)),ROUND(VLOOKUP("2.1",A2:S101,14,FALSE),4),0) + IF(ISNUMBER(VLOOKUP("2.2",A2:S101,14,FALSE)),ROUND(VLOOKUP("2.2",A2:S101,14,FALSE),4),0)</f>
        <v>111765285</v>
      </c>
      <c r="O15" s="4">
        <f>IF(ISNUMBER(VLOOKUP("2.1",A2:S101,15,FALSE)),ROUND(VLOOKUP("2.1",A2:S101,15,FALSE),4),0) + IF(ISNUMBER(VLOOKUP("2.2",A2:S101,15,FALSE)),ROUND(VLOOKUP("2.2",A2:S101,15,FALSE),4),0)</f>
        <v>112741938</v>
      </c>
      <c r="P15" s="4">
        <f>IF(ISNUMBER(VLOOKUP("2.1",A2:S101,16,FALSE)),ROUND(VLOOKUP("2.1",A2:S101,16,FALSE),4),0) + IF(ISNUMBER(VLOOKUP("2.2",A2:S101,16,FALSE)),ROUND(VLOOKUP("2.2",A2:S101,16,FALSE),4),0)</f>
        <v>113930356</v>
      </c>
      <c r="Q15" s="4">
        <f>IF(ISNUMBER(VLOOKUP("2.1",A2:S101,17,FALSE)),ROUND(VLOOKUP("2.1",A2:S101,17,FALSE),4),0) + IF(ISNUMBER(VLOOKUP("2.2",A2:S101,17,FALSE)),ROUND(VLOOKUP("2.2",A2:S101,17,FALSE),4),0)</f>
        <v>114730661</v>
      </c>
      <c r="R15" s="4">
        <f>IF(ISNUMBER(VLOOKUP("2.1",A2:S101,18,FALSE)),ROUND(VLOOKUP("2.1",A2:S101,18,FALSE),4),0) + IF(ISNUMBER(VLOOKUP("2.2",A2:S101,18,FALSE)),ROUND(VLOOKUP("2.2",A2:S101,18,FALSE),4),0)</f>
        <v>117122967</v>
      </c>
      <c r="S15" s="4">
        <f>IF(ISNUMBER(VLOOKUP("2.1",A2:S101,19,FALSE)),ROUND(VLOOKUP("2.1",A2:S101,19,FALSE),4),0) + IF(ISNUMBER(VLOOKUP("2.2",A2:S101,19,FALSE)),ROUND(VLOOKUP("2.2",A2:S101,19,FALSE),4),0)</f>
        <v>117467396</v>
      </c>
    </row>
    <row r="16" spans="1:19" ht="14.25" customHeight="1" x14ac:dyDescent="0.25">
      <c r="A16" s="2" t="s">
        <v>46</v>
      </c>
      <c r="B16" s="3" t="s">
        <v>47</v>
      </c>
      <c r="C16" s="4">
        <f>IF(ISNUMBER(VLOOKUP("2.1.1",A2:S101,3,FALSE)),ROUND(VLOOKUP("2.1.1",A2:S101,3,FALSE),4),0) + IF(ISNUMBER(VLOOKUP("2.1.2",A2:S101,3,FALSE)),ROUND(VLOOKUP("2.1.2",A2:S101,3,FALSE),4),0) + IF(ISNUMBER(VLOOKUP("2.1.3",A2:S101,3,FALSE)),ROUND(VLOOKUP("2.1.3",A2:S101,3,FALSE),4),0) + IF(ISNUMBER(VLOOKUP("2.1.x",A2:S101,3,FALSE)),ROUND(VLOOKUP("2.1.x",A2:S101,3,FALSE),4),0)</f>
        <v>83826411.210000008</v>
      </c>
      <c r="D16" s="4">
        <f>IF(ISNUMBER(VLOOKUP("2.1.1",A2:S101,4,FALSE)),ROUND(VLOOKUP("2.1.1",A2:S101,4,FALSE),4),0) + IF(ISNUMBER(VLOOKUP("2.1.2",A2:S101,4,FALSE)),ROUND(VLOOKUP("2.1.2",A2:S101,4,FALSE),4),0) + IF(ISNUMBER(VLOOKUP("2.1.3",A2:S101,4,FALSE)),ROUND(VLOOKUP("2.1.3",A2:S101,4,FALSE),4),0) + IF(ISNUMBER(VLOOKUP("2.1.x",A2:S101,4,FALSE)),ROUND(VLOOKUP("2.1.x",A2:S101,4,FALSE),4),0)</f>
        <v>88222272.409999996</v>
      </c>
      <c r="E16" s="4">
        <f>IF(ISNUMBER(VLOOKUP("2.1.1",A2:S101,5,FALSE)),ROUND(VLOOKUP("2.1.1",A2:S101,5,FALSE),4),0) + IF(ISNUMBER(VLOOKUP("2.1.2",A2:S101,5,FALSE)),ROUND(VLOOKUP("2.1.2",A2:S101,5,FALSE),4),0) + IF(ISNUMBER(VLOOKUP("2.1.3",A2:S101,5,FALSE)),ROUND(VLOOKUP("2.1.3",A2:S101,5,FALSE),4),0) + IF(ISNUMBER(VLOOKUP("2.1.x",A2:S101,5,FALSE)),ROUND(VLOOKUP("2.1.x",A2:S101,5,FALSE),4),0)</f>
        <v>97760967.140000001</v>
      </c>
      <c r="F16" s="4">
        <f>IF(ISNUMBER(VLOOKUP("2.1.1",A2:S101,6,FALSE)),ROUND(VLOOKUP("2.1.1",A2:S101,6,FALSE),4),0) + IF(ISNUMBER(VLOOKUP("2.1.2",A2:S101,6,FALSE)),ROUND(VLOOKUP("2.1.2",A2:S101,6,FALSE),4),0) + IF(ISNUMBER(VLOOKUP("2.1.3",A2:S101,6,FALSE)),ROUND(VLOOKUP("2.1.3",A2:S101,6,FALSE),4),0) + IF(ISNUMBER(VLOOKUP("2.1.x",A2:S101,6,FALSE)),ROUND(VLOOKUP("2.1.x",A2:S101,6,FALSE),4),0)</f>
        <v>97722667.459999993</v>
      </c>
      <c r="G16" s="4">
        <f>IF(ISNUMBER(VLOOKUP("2.1.1",A2:S101,7,FALSE)),ROUND(VLOOKUP("2.1.1",A2:S101,7,FALSE),4),0) + IF(ISNUMBER(VLOOKUP("2.1.2",A2:S101,7,FALSE)),ROUND(VLOOKUP("2.1.2",A2:S101,7,FALSE),4),0) + IF(ISNUMBER(VLOOKUP("2.1.3",A2:S101,7,FALSE)),ROUND(VLOOKUP("2.1.3",A2:S101,7,FALSE),4),0) + IF(ISNUMBER(VLOOKUP("2.1.x",A2:S101,7,FALSE)),ROUND(VLOOKUP("2.1.x",A2:S101,7,FALSE),4),0)</f>
        <v>98737666</v>
      </c>
      <c r="H16" s="4">
        <f>IF(ISNUMBER(VLOOKUP("2.1.1",A2:S101,8,FALSE)),ROUND(VLOOKUP("2.1.1",A2:S101,8,FALSE),4),0) + IF(ISNUMBER(VLOOKUP("2.1.2",A2:S101,8,FALSE)),ROUND(VLOOKUP("2.1.2",A2:S101,8,FALSE),4),0) + IF(ISNUMBER(VLOOKUP("2.1.3",A2:S101,8,FALSE)),ROUND(VLOOKUP("2.1.3",A2:S101,8,FALSE),4),0) + IF(ISNUMBER(VLOOKUP("2.1.x",A2:S101,8,FALSE)),ROUND(VLOOKUP("2.1.x",A2:S101,8,FALSE),4),0)</f>
        <v>100300943</v>
      </c>
      <c r="I16" s="4">
        <f>IF(ISNUMBER(VLOOKUP("2.1.1",A2:S101,9,FALSE)),ROUND(VLOOKUP("2.1.1",A2:S101,9,FALSE),4),0) + IF(ISNUMBER(VLOOKUP("2.1.2",A2:S101,9,FALSE)),ROUND(VLOOKUP("2.1.2",A2:S101,9,FALSE),4),0) + IF(ISNUMBER(VLOOKUP("2.1.3",A2:S101,9,FALSE)),ROUND(VLOOKUP("2.1.3",A2:S101,9,FALSE),4),0) + IF(ISNUMBER(VLOOKUP("2.1.x",A2:S101,9,FALSE)),ROUND(VLOOKUP("2.1.x",A2:S101,9,FALSE),4),0)</f>
        <v>102084115</v>
      </c>
      <c r="J16" s="4">
        <f>IF(ISNUMBER(VLOOKUP("2.1.1",A2:S101,10,FALSE)),ROUND(VLOOKUP("2.1.1",A2:S101,10,FALSE),4),0) + IF(ISNUMBER(VLOOKUP("2.1.2",A2:S101,10,FALSE)),ROUND(VLOOKUP("2.1.2",A2:S101,10,FALSE),4),0) + IF(ISNUMBER(VLOOKUP("2.1.3",A2:S101,10,FALSE)),ROUND(VLOOKUP("2.1.3",A2:S101,10,FALSE),4),0) + IF(ISNUMBER(VLOOKUP("2.1.x",A2:S101,10,FALSE)),ROUND(VLOOKUP("2.1.x",A2:S101,10,FALSE),4),0)</f>
        <v>103789952</v>
      </c>
      <c r="K16" s="4">
        <f>IF(ISNUMBER(VLOOKUP("2.1.1",A2:S101,11,FALSE)),ROUND(VLOOKUP("2.1.1",A2:S101,11,FALSE),4),0) + IF(ISNUMBER(VLOOKUP("2.1.2",A2:S101,11,FALSE)),ROUND(VLOOKUP("2.1.2",A2:S101,11,FALSE),4),0) + IF(ISNUMBER(VLOOKUP("2.1.3",A2:S101,11,FALSE)),ROUND(VLOOKUP("2.1.3",A2:S101,11,FALSE),4),0) + IF(ISNUMBER(VLOOKUP("2.1.x",A2:S101,11,FALSE)),ROUND(VLOOKUP("2.1.x",A2:S101,11,FALSE),4),0)</f>
        <v>105481124</v>
      </c>
      <c r="L16" s="4">
        <f>IF(ISNUMBER(VLOOKUP("2.1.1",A2:S101,12,FALSE)),ROUND(VLOOKUP("2.1.1",A2:S101,12,FALSE),4),0) + IF(ISNUMBER(VLOOKUP("2.1.2",A2:S101,12,FALSE)),ROUND(VLOOKUP("2.1.2",A2:S101,12,FALSE),4),0) + IF(ISNUMBER(VLOOKUP("2.1.3",A2:S101,12,FALSE)),ROUND(VLOOKUP("2.1.3",A2:S101,12,FALSE),4),0) + IF(ISNUMBER(VLOOKUP("2.1.x",A2:S101,12,FALSE)),ROUND(VLOOKUP("2.1.x",A2:S101,12,FALSE),4),0)</f>
        <v>106356755</v>
      </c>
      <c r="M16" s="4">
        <f>IF(ISNUMBER(VLOOKUP("2.1.1",A2:S101,13,FALSE)),ROUND(VLOOKUP("2.1.1",A2:S101,13,FALSE),4),0) + IF(ISNUMBER(VLOOKUP("2.1.2",A2:S101,13,FALSE)),ROUND(VLOOKUP("2.1.2",A2:S101,13,FALSE),4),0) + IF(ISNUMBER(VLOOKUP("2.1.3",A2:S101,13,FALSE)),ROUND(VLOOKUP("2.1.3",A2:S101,13,FALSE),4),0) + IF(ISNUMBER(VLOOKUP("2.1.x",A2:S101,13,FALSE)),ROUND(VLOOKUP("2.1.x",A2:S101,13,FALSE),4),0)</f>
        <v>107236773</v>
      </c>
      <c r="N16" s="4">
        <f>IF(ISNUMBER(VLOOKUP("2.1.1",A2:S101,14,FALSE)),ROUND(VLOOKUP("2.1.1",A2:S101,14,FALSE),4),0) + IF(ISNUMBER(VLOOKUP("2.1.2",A2:S101,14,FALSE)),ROUND(VLOOKUP("2.1.2",A2:S101,14,FALSE),4),0) + IF(ISNUMBER(VLOOKUP("2.1.3",A2:S101,14,FALSE)),ROUND(VLOOKUP("2.1.3",A2:S101,14,FALSE),4),0) + IF(ISNUMBER(VLOOKUP("2.1.x",A2:S101,14,FALSE)),ROUND(VLOOKUP("2.1.x",A2:S101,14,FALSE),4),0)</f>
        <v>108111281</v>
      </c>
      <c r="O16" s="4">
        <f>IF(ISNUMBER(VLOOKUP("2.1.1",A2:S101,15,FALSE)),ROUND(VLOOKUP("2.1.1",A2:S101,15,FALSE),4),0) + IF(ISNUMBER(VLOOKUP("2.1.2",A2:S101,15,FALSE)),ROUND(VLOOKUP("2.1.2",A2:S101,15,FALSE),4),0) + IF(ISNUMBER(VLOOKUP("2.1.3",A2:S101,15,FALSE)),ROUND(VLOOKUP("2.1.3",A2:S101,15,FALSE),4),0) + IF(ISNUMBER(VLOOKUP("2.1.x",A2:S101,15,FALSE)),ROUND(VLOOKUP("2.1.x",A2:S101,15,FALSE),4),0)</f>
        <v>108980383</v>
      </c>
      <c r="P16" s="4">
        <f>IF(ISNUMBER(VLOOKUP("2.1.1",A2:S101,16,FALSE)),ROUND(VLOOKUP("2.1.1",A2:S101,16,FALSE),4),0) + IF(ISNUMBER(VLOOKUP("2.1.2",A2:S101,16,FALSE)),ROUND(VLOOKUP("2.1.2",A2:S101,16,FALSE),4),0) + IF(ISNUMBER(VLOOKUP("2.1.3",A2:S101,16,FALSE)),ROUND(VLOOKUP("2.1.3",A2:S101,16,FALSE),4),0) + IF(ISNUMBER(VLOOKUP("2.1.x",A2:S101,16,FALSE)),ROUND(VLOOKUP("2.1.x",A2:S101,16,FALSE),4),0)</f>
        <v>109856186</v>
      </c>
      <c r="Q16" s="4">
        <f>IF(ISNUMBER(VLOOKUP("2.1.1",A2:S101,17,FALSE)),ROUND(VLOOKUP("2.1.1",A2:S101,17,FALSE),4),0) + IF(ISNUMBER(VLOOKUP("2.1.2",A2:S101,17,FALSE)),ROUND(VLOOKUP("2.1.2",A2:S101,17,FALSE),4),0) + IF(ISNUMBER(VLOOKUP("2.1.3",A2:S101,17,FALSE)),ROUND(VLOOKUP("2.1.3",A2:S101,17,FALSE),4),0) + IF(ISNUMBER(VLOOKUP("2.1.x",A2:S101,17,FALSE)),ROUND(VLOOKUP("2.1.x",A2:S101,17,FALSE),4),0)</f>
        <v>110736798</v>
      </c>
      <c r="R16" s="4">
        <f>IF(ISNUMBER(VLOOKUP("2.1.1",A2:S101,18,FALSE)),ROUND(VLOOKUP("2.1.1",A2:S101,18,FALSE),4),0) + IF(ISNUMBER(VLOOKUP("2.1.2",A2:S101,18,FALSE)),ROUND(VLOOKUP("2.1.2",A2:S101,18,FALSE),4),0) + IF(ISNUMBER(VLOOKUP("2.1.3",A2:S101,18,FALSE)),ROUND(VLOOKUP("2.1.3",A2:S101,18,FALSE),4),0) + IF(ISNUMBER(VLOOKUP("2.1.x",A2:S101,18,FALSE)),ROUND(VLOOKUP("2.1.x",A2:S101,18,FALSE),4),0)</f>
        <v>111638326</v>
      </c>
      <c r="S16" s="4">
        <f>IF(ISNUMBER(VLOOKUP("2.1.1",A2:S101,19,FALSE)),ROUND(VLOOKUP("2.1.1",A2:S101,19,FALSE),4),0) + IF(ISNUMBER(VLOOKUP("2.1.2",A2:S101,19,FALSE)),ROUND(VLOOKUP("2.1.2",A2:S101,19,FALSE),4),0) + IF(ISNUMBER(VLOOKUP("2.1.3",A2:S101,19,FALSE)),ROUND(VLOOKUP("2.1.3",A2:S101,19,FALSE),4),0) + IF(ISNUMBER(VLOOKUP("2.1.x",A2:S101,19,FALSE)),ROUND(VLOOKUP("2.1.x",A2:S101,19,FALSE),4),0)</f>
        <v>112563880</v>
      </c>
    </row>
    <row r="17" spans="1:19" ht="14.25" customHeight="1" x14ac:dyDescent="0.25">
      <c r="A17" s="5" t="s">
        <v>48</v>
      </c>
      <c r="B17" s="6" t="s">
        <v>49</v>
      </c>
      <c r="C17" s="7">
        <v>29556126.77</v>
      </c>
      <c r="D17" s="7">
        <v>29716733.899999999</v>
      </c>
      <c r="E17" s="7">
        <v>31257363.300000001</v>
      </c>
      <c r="F17" s="7">
        <v>31263021.300000001</v>
      </c>
      <c r="G17" s="8">
        <v>32487710.559999999</v>
      </c>
      <c r="H17" s="8">
        <v>33471162</v>
      </c>
      <c r="I17" s="8">
        <v>34467321</v>
      </c>
      <c r="J17" s="8">
        <v>35501948</v>
      </c>
      <c r="K17" s="8">
        <v>36513645</v>
      </c>
      <c r="L17" s="8">
        <v>36878781</v>
      </c>
      <c r="M17" s="8">
        <v>37247569</v>
      </c>
      <c r="N17" s="8">
        <v>37620045</v>
      </c>
      <c r="O17" s="8">
        <v>37996245</v>
      </c>
      <c r="P17" s="8">
        <v>38376207</v>
      </c>
      <c r="Q17" s="8">
        <v>38759969</v>
      </c>
      <c r="R17" s="8">
        <v>39147569</v>
      </c>
      <c r="S17" s="8">
        <v>39539045</v>
      </c>
    </row>
    <row r="18" spans="1:19" ht="14.25" customHeight="1" x14ac:dyDescent="0.25">
      <c r="A18" s="5" t="s">
        <v>50</v>
      </c>
      <c r="B18" s="6" t="s">
        <v>51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</row>
    <row r="19" spans="1:19" ht="27" customHeight="1" x14ac:dyDescent="0.25">
      <c r="A19" s="5" t="s">
        <v>52</v>
      </c>
      <c r="B19" s="6" t="s">
        <v>53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</row>
    <row r="20" spans="1:19" ht="14.25" customHeight="1" x14ac:dyDescent="0.25">
      <c r="A20" s="5" t="s">
        <v>54</v>
      </c>
      <c r="B20" s="6" t="s">
        <v>55</v>
      </c>
      <c r="C20" s="9">
        <v>2144934.73</v>
      </c>
      <c r="D20" s="9">
        <v>2220409.9300000002</v>
      </c>
      <c r="E20" s="9">
        <v>1823454</v>
      </c>
      <c r="F20" s="9">
        <v>1823454</v>
      </c>
      <c r="G20" s="9">
        <v>2038500</v>
      </c>
      <c r="H20" s="9">
        <v>1912000</v>
      </c>
      <c r="I20" s="9">
        <v>1920000</v>
      </c>
      <c r="J20" s="9">
        <v>1770000</v>
      </c>
      <c r="K20" s="9">
        <v>1618000</v>
      </c>
      <c r="L20" s="9">
        <v>1455000</v>
      </c>
      <c r="M20" s="9">
        <v>1286000</v>
      </c>
      <c r="N20" s="9">
        <v>1101000</v>
      </c>
      <c r="O20" s="9">
        <v>900000</v>
      </c>
      <c r="P20" s="9">
        <v>695000</v>
      </c>
      <c r="Q20" s="9">
        <v>484000</v>
      </c>
      <c r="R20" s="9">
        <v>283000</v>
      </c>
      <c r="S20" s="9">
        <v>95000</v>
      </c>
    </row>
    <row r="21" spans="1:19" hidden="1" x14ac:dyDescent="0.25">
      <c r="A21" s="5" t="s">
        <v>56</v>
      </c>
      <c r="B21" s="6" t="s">
        <v>57</v>
      </c>
      <c r="C21" s="9">
        <v>2110434.73</v>
      </c>
      <c r="D21" s="9">
        <v>2219951.14</v>
      </c>
      <c r="E21" s="9">
        <v>1808104</v>
      </c>
      <c r="F21" s="9">
        <v>1808104</v>
      </c>
      <c r="G21" s="9">
        <v>2038000</v>
      </c>
      <c r="H21" s="9">
        <v>1912000</v>
      </c>
      <c r="I21" s="9">
        <v>1920000</v>
      </c>
      <c r="J21" s="9">
        <v>1770000</v>
      </c>
      <c r="K21" s="9">
        <v>1618000</v>
      </c>
      <c r="L21" s="9">
        <v>1455000</v>
      </c>
      <c r="M21" s="9">
        <v>1286000</v>
      </c>
      <c r="N21" s="9">
        <v>1101000</v>
      </c>
      <c r="O21" s="9">
        <v>900000</v>
      </c>
      <c r="P21" s="9">
        <v>695000</v>
      </c>
      <c r="Q21" s="9">
        <v>484000</v>
      </c>
      <c r="R21" s="9">
        <v>283000</v>
      </c>
      <c r="S21" s="9">
        <v>95000</v>
      </c>
    </row>
    <row r="22" spans="1:19" ht="65.650000000000006" customHeight="1" x14ac:dyDescent="0.25">
      <c r="A22" s="5" t="s">
        <v>58</v>
      </c>
      <c r="B22" s="6" t="s">
        <v>59</v>
      </c>
      <c r="C22" s="9">
        <v>71198.679999999993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</row>
    <row r="23" spans="1:19" ht="39.950000000000003" customHeight="1" x14ac:dyDescent="0.25">
      <c r="A23" s="5" t="s">
        <v>60</v>
      </c>
      <c r="B23" s="6" t="s">
        <v>61</v>
      </c>
      <c r="C23" s="9">
        <v>737433.57</v>
      </c>
      <c r="D23" s="9">
        <v>804218.74</v>
      </c>
      <c r="E23" s="9">
        <v>658836.42000000004</v>
      </c>
      <c r="F23" s="9">
        <v>658836.42000000004</v>
      </c>
      <c r="G23" s="9">
        <v>771709.77</v>
      </c>
      <c r="H23" s="9">
        <v>740336.77</v>
      </c>
      <c r="I23" s="9">
        <v>710138.77</v>
      </c>
      <c r="J23" s="9">
        <v>658149.73</v>
      </c>
      <c r="K23" s="9">
        <v>631538.77</v>
      </c>
      <c r="L23" s="9">
        <v>550800.77</v>
      </c>
      <c r="M23" s="9">
        <v>430741.77</v>
      </c>
      <c r="N23" s="9">
        <v>378714.73</v>
      </c>
      <c r="O23" s="9">
        <v>378629.77</v>
      </c>
      <c r="P23" s="9">
        <v>349821.68</v>
      </c>
      <c r="Q23" s="9">
        <v>183609.03</v>
      </c>
      <c r="R23" s="9">
        <v>117629.03</v>
      </c>
      <c r="S23" s="9">
        <v>35000</v>
      </c>
    </row>
    <row r="24" spans="1:19" ht="27" customHeight="1" x14ac:dyDescent="0.25">
      <c r="A24" s="5" t="s">
        <v>62</v>
      </c>
      <c r="B24" s="6" t="s">
        <v>63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</row>
    <row r="25" spans="1:19" hidden="1" x14ac:dyDescent="0.25">
      <c r="A25" s="5" t="s">
        <v>64</v>
      </c>
      <c r="B25" s="6" t="s">
        <v>36</v>
      </c>
      <c r="C25" s="7">
        <v>52125349.710000001</v>
      </c>
      <c r="D25" s="7">
        <v>56285128.579999998</v>
      </c>
      <c r="E25" s="7">
        <v>64680149.840000004</v>
      </c>
      <c r="F25" s="7">
        <v>64636192.159999996</v>
      </c>
      <c r="G25" s="8">
        <v>64211455.439999998</v>
      </c>
      <c r="H25" s="8">
        <v>64917781</v>
      </c>
      <c r="I25" s="8">
        <v>65696794</v>
      </c>
      <c r="J25" s="8">
        <v>66518004</v>
      </c>
      <c r="K25" s="8">
        <v>67349479</v>
      </c>
      <c r="L25" s="8">
        <v>68022974</v>
      </c>
      <c r="M25" s="8">
        <v>68703204</v>
      </c>
      <c r="N25" s="8">
        <v>69390236</v>
      </c>
      <c r="O25" s="8">
        <v>70084138</v>
      </c>
      <c r="P25" s="8">
        <v>70784979</v>
      </c>
      <c r="Q25" s="8">
        <v>71492829</v>
      </c>
      <c r="R25" s="8">
        <v>72207757</v>
      </c>
      <c r="S25" s="8">
        <v>72929835</v>
      </c>
    </row>
    <row r="26" spans="1:19" ht="14.25" customHeight="1" x14ac:dyDescent="0.25">
      <c r="A26" s="2" t="s">
        <v>65</v>
      </c>
      <c r="B26" s="3" t="s">
        <v>66</v>
      </c>
      <c r="C26" s="4">
        <f>IF(ISNUMBER(VLOOKUP("2.2.1",A2:S101,3,FALSE)),ROUND(VLOOKUP("2.2.1",A2:S101,3,FALSE),4),0) + IF(ISNUMBER(VLOOKUP("2.2.x",A2:S101,3,FALSE)),ROUND(VLOOKUP("2.2.x",A2:S101,3,FALSE),4),0)</f>
        <v>10268548.439999999</v>
      </c>
      <c r="D26" s="4">
        <f>IF(ISNUMBER(VLOOKUP("2.2.1",A2:S101,4,FALSE)),ROUND(VLOOKUP("2.2.1",A2:S101,4,FALSE),4),0) + IF(ISNUMBER(VLOOKUP("2.2.x",A2:S101,4,FALSE)),ROUND(VLOOKUP("2.2.x",A2:S101,4,FALSE),4),0)</f>
        <v>5074951.07</v>
      </c>
      <c r="E26" s="4">
        <f>IF(ISNUMBER(VLOOKUP("2.2.1",A2:S101,5,FALSE)),ROUND(VLOOKUP("2.2.1",A2:S101,5,FALSE),4),0) + IF(ISNUMBER(VLOOKUP("2.2.x",A2:S101,5,FALSE)),ROUND(VLOOKUP("2.2.x",A2:S101,5,FALSE),4),0)</f>
        <v>5104056.7699999996</v>
      </c>
      <c r="F26" s="4">
        <f>IF(ISNUMBER(VLOOKUP("2.2.1",A2:S101,6,FALSE)),ROUND(VLOOKUP("2.2.1",A2:S101,6,FALSE),4),0) + IF(ISNUMBER(VLOOKUP("2.2.x",A2:S101,6,FALSE)),ROUND(VLOOKUP("2.2.x",A2:S101,6,FALSE),4),0)</f>
        <v>5143501.7699999996</v>
      </c>
      <c r="G26" s="4">
        <f>IF(ISNUMBER(VLOOKUP("2.2.1",A2:S101,7,FALSE)),ROUND(VLOOKUP("2.2.1",A2:S101,7,FALSE),4),0) + IF(ISNUMBER(VLOOKUP("2.2.x",A2:S101,7,FALSE)),ROUND(VLOOKUP("2.2.x",A2:S101,7,FALSE),4),0)</f>
        <v>13344915.58</v>
      </c>
      <c r="H26" s="4">
        <f>IF(ISNUMBER(VLOOKUP("2.2.1",A2:S101,8,FALSE)),ROUND(VLOOKUP("2.2.1",A2:S101,8,FALSE),4),0) + IF(ISNUMBER(VLOOKUP("2.2.x",A2:S101,8,FALSE)),ROUND(VLOOKUP("2.2.x",A2:S101,8,FALSE),4),0)</f>
        <v>13075403.279999999</v>
      </c>
      <c r="I26" s="4">
        <f>IF(ISNUMBER(VLOOKUP("2.2.1",A2:S101,9,FALSE)),ROUND(VLOOKUP("2.2.1",A2:S101,9,FALSE),4),0) + IF(ISNUMBER(VLOOKUP("2.2.x",A2:S101,9,FALSE)),ROUND(VLOOKUP("2.2.x",A2:S101,9,FALSE),4),0)</f>
        <v>3849265.15</v>
      </c>
      <c r="J26" s="4">
        <f>IF(ISNUMBER(VLOOKUP("2.2.1",A2:S101,10,FALSE)),ROUND(VLOOKUP("2.2.1",A2:S101,10,FALSE),4),0) + IF(ISNUMBER(VLOOKUP("2.2.x",A2:S101,10,FALSE)),ROUND(VLOOKUP("2.2.x",A2:S101,10,FALSE),4),0)</f>
        <v>7697467.8099999996</v>
      </c>
      <c r="K26" s="4">
        <f>IF(ISNUMBER(VLOOKUP("2.2.1",A2:S101,11,FALSE)),ROUND(VLOOKUP("2.2.1",A2:S101,11,FALSE),4),0) + IF(ISNUMBER(VLOOKUP("2.2.x",A2:S101,11,FALSE)),ROUND(VLOOKUP("2.2.x",A2:S101,11,FALSE),4),0)</f>
        <v>6531730.8899999997</v>
      </c>
      <c r="L26" s="4">
        <f>IF(ISNUMBER(VLOOKUP("2.2.1",A2:S101,12,FALSE)),ROUND(VLOOKUP("2.2.1",A2:S101,12,FALSE),4),0) + IF(ISNUMBER(VLOOKUP("2.2.x",A2:S101,12,FALSE)),ROUND(VLOOKUP("2.2.x",A2:S101,12,FALSE),4),0)</f>
        <v>6979210.4699999997</v>
      </c>
      <c r="M26" s="4">
        <f>IF(ISNUMBER(VLOOKUP("2.2.1",A2:S101,13,FALSE)),ROUND(VLOOKUP("2.2.1",A2:S101,13,FALSE),4),0) + IF(ISNUMBER(VLOOKUP("2.2.x",A2:S101,13,FALSE)),ROUND(VLOOKUP("2.2.x",A2:S101,13,FALSE),4),0)</f>
        <v>4263510</v>
      </c>
      <c r="N26" s="4">
        <f>IF(ISNUMBER(VLOOKUP("2.2.1",A2:S101,14,FALSE)),ROUND(VLOOKUP("2.2.1",A2:S101,14,FALSE),4),0) + IF(ISNUMBER(VLOOKUP("2.2.x",A2:S101,14,FALSE)),ROUND(VLOOKUP("2.2.x",A2:S101,14,FALSE),4),0)</f>
        <v>3654004</v>
      </c>
      <c r="O26" s="4">
        <f>IF(ISNUMBER(VLOOKUP("2.2.1",A2:S101,15,FALSE)),ROUND(VLOOKUP("2.2.1",A2:S101,15,FALSE),4),0) + IF(ISNUMBER(VLOOKUP("2.2.x",A2:S101,15,FALSE)),ROUND(VLOOKUP("2.2.x",A2:S101,15,FALSE),4),0)</f>
        <v>3761555</v>
      </c>
      <c r="P26" s="4">
        <f>IF(ISNUMBER(VLOOKUP("2.2.1",A2:S101,16,FALSE)),ROUND(VLOOKUP("2.2.1",A2:S101,16,FALSE),4),0) + IF(ISNUMBER(VLOOKUP("2.2.x",A2:S101,16,FALSE)),ROUND(VLOOKUP("2.2.x",A2:S101,16,FALSE),4),0)</f>
        <v>4074170</v>
      </c>
      <c r="Q26" s="4">
        <f>IF(ISNUMBER(VLOOKUP("2.2.1",A2:S101,17,FALSE)),ROUND(VLOOKUP("2.2.1",A2:S101,17,FALSE),4),0) + IF(ISNUMBER(VLOOKUP("2.2.x",A2:S101,17,FALSE)),ROUND(VLOOKUP("2.2.x",A2:S101,17,FALSE),4),0)</f>
        <v>3993863</v>
      </c>
      <c r="R26" s="4">
        <f>IF(ISNUMBER(VLOOKUP("2.2.1",A2:S101,18,FALSE)),ROUND(VLOOKUP("2.2.1",A2:S101,18,FALSE),4),0) + IF(ISNUMBER(VLOOKUP("2.2.x",A2:S101,18,FALSE)),ROUND(VLOOKUP("2.2.x",A2:S101,18,FALSE),4),0)</f>
        <v>5484641</v>
      </c>
      <c r="S26" s="4">
        <f>IF(ISNUMBER(VLOOKUP("2.2.1",A2:S101,19,FALSE)),ROUND(VLOOKUP("2.2.1",A2:S101,19,FALSE),4),0) + IF(ISNUMBER(VLOOKUP("2.2.x",A2:S101,19,FALSE)),ROUND(VLOOKUP("2.2.x",A2:S101,19,FALSE),4),0)</f>
        <v>4903516</v>
      </c>
    </row>
    <row r="27" spans="1:19" ht="27" customHeight="1" x14ac:dyDescent="0.25">
      <c r="A27" s="5" t="s">
        <v>67</v>
      </c>
      <c r="B27" s="6" t="s">
        <v>68</v>
      </c>
      <c r="C27" s="7">
        <v>10268548.439999999</v>
      </c>
      <c r="D27" s="7">
        <v>4765251.07</v>
      </c>
      <c r="E27" s="7">
        <v>5104056.7699999996</v>
      </c>
      <c r="F27" s="7">
        <v>5143501.7699999996</v>
      </c>
      <c r="G27" s="8">
        <v>13344915.58</v>
      </c>
      <c r="H27" s="8">
        <v>13075403.279999999</v>
      </c>
      <c r="I27" s="8">
        <v>3849265.15</v>
      </c>
      <c r="J27" s="8">
        <v>7697467.8099999996</v>
      </c>
      <c r="K27" s="8">
        <v>6531730.8899999997</v>
      </c>
      <c r="L27" s="8">
        <v>6979210.4699999997</v>
      </c>
      <c r="M27" s="8">
        <v>4263510</v>
      </c>
      <c r="N27" s="8">
        <v>3654004</v>
      </c>
      <c r="O27" s="8">
        <v>3761555</v>
      </c>
      <c r="P27" s="8">
        <v>4074170</v>
      </c>
      <c r="Q27" s="8">
        <v>3993863</v>
      </c>
      <c r="R27" s="8">
        <v>5484641</v>
      </c>
      <c r="S27" s="8">
        <v>4903516</v>
      </c>
    </row>
    <row r="28" spans="1:19" ht="27" customHeight="1" x14ac:dyDescent="0.25">
      <c r="A28" s="5" t="s">
        <v>69</v>
      </c>
      <c r="B28" s="6" t="s">
        <v>70</v>
      </c>
      <c r="C28" s="7">
        <v>513700</v>
      </c>
      <c r="D28" s="7">
        <v>0</v>
      </c>
      <c r="E28" s="7">
        <v>200000</v>
      </c>
      <c r="F28" s="7">
        <v>200000</v>
      </c>
      <c r="G28" s="8">
        <v>0</v>
      </c>
      <c r="H28" s="8">
        <v>80000</v>
      </c>
      <c r="I28" s="8">
        <v>80000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</row>
    <row r="29" spans="1:19" hidden="1" x14ac:dyDescent="0.25">
      <c r="A29" s="5" t="s">
        <v>71</v>
      </c>
      <c r="B29" s="6" t="s">
        <v>36</v>
      </c>
      <c r="C29" s="7">
        <v>0</v>
      </c>
      <c r="D29" s="7">
        <v>309700</v>
      </c>
      <c r="E29" s="7">
        <v>0</v>
      </c>
      <c r="F29" s="7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</row>
    <row r="30" spans="1:19" ht="14.25" customHeight="1" x14ac:dyDescent="0.25">
      <c r="A30" s="2" t="s">
        <v>72</v>
      </c>
      <c r="B30" s="3" t="s">
        <v>73</v>
      </c>
      <c r="C30" s="4">
        <f>IF(ISNUMBER(VLOOKUP("1",A2:S101,3,FALSE)),ROUND(VLOOKUP("1",A2:S101,3,FALSE),4),0) - IF(ISNUMBER(VLOOKUP("2",A2:S101,3,FALSE)),ROUND(VLOOKUP("2",A2:S101,3,FALSE),4),0)</f>
        <v>-984432.21999999881</v>
      </c>
      <c r="D30" s="4">
        <f>IF(ISNUMBER(VLOOKUP("1",A2:S101,4,FALSE)),ROUND(VLOOKUP("1",A2:S101,4,FALSE),4),0) - IF(ISNUMBER(VLOOKUP("2",A2:S101,4,FALSE)),ROUND(VLOOKUP("2",A2:S101,4,FALSE),4),0)</f>
        <v>2705501.450000003</v>
      </c>
      <c r="E30" s="4">
        <f>IF(ISNUMBER(VLOOKUP("1",A2:S101,5,FALSE)),ROUND(VLOOKUP("1",A2:S101,5,FALSE),4),0) - IF(ISNUMBER(VLOOKUP("2",A2:S101,5,FALSE)),ROUND(VLOOKUP("2",A2:S101,5,FALSE),4),0)</f>
        <v>2641795.0900000036</v>
      </c>
      <c r="F30" s="4">
        <f>IF(ISNUMBER(VLOOKUP("1",A2:S101,6,FALSE)),ROUND(VLOOKUP("1",A2:S101,6,FALSE),4),0) - IF(ISNUMBER(VLOOKUP("2",A2:S101,6,FALSE)),ROUND(VLOOKUP("2",A2:S101,6,FALSE),4),0)</f>
        <v>2641795.0899999887</v>
      </c>
      <c r="G30" s="4">
        <f>IF(ISNUMBER(VLOOKUP("1",A2:S101,7,FALSE)),ROUND(VLOOKUP("1",A2:S101,7,FALSE),4),0) - IF(ISNUMBER(VLOOKUP("2",A2:S101,7,FALSE)),ROUND(VLOOKUP("2",A2:S101,7,FALSE),4),0)</f>
        <v>3473440</v>
      </c>
      <c r="H30" s="4">
        <f>IF(ISNUMBER(VLOOKUP("1",A2:S101,8,FALSE)),ROUND(VLOOKUP("1",A2:S101,8,FALSE),4),0) - IF(ISNUMBER(VLOOKUP("2",A2:S101,8,FALSE)),ROUND(VLOOKUP("2",A2:S101,8,FALSE),4),0)</f>
        <v>-1126560</v>
      </c>
      <c r="I30" s="4">
        <f>IF(ISNUMBER(VLOOKUP("1",A2:S101,9,FALSE)),ROUND(VLOOKUP("1",A2:S101,9,FALSE),4),0) - IF(ISNUMBER(VLOOKUP("2",A2:S101,9,FALSE)),ROUND(VLOOKUP("2",A2:S101,9,FALSE),4),0)</f>
        <v>4413167.1499999911</v>
      </c>
      <c r="J30" s="4">
        <f>IF(ISNUMBER(VLOOKUP("1",A2:S101,10,FALSE)),ROUND(VLOOKUP("1",A2:S101,10,FALSE),4),0) - IF(ISNUMBER(VLOOKUP("2",A2:S101,10,FALSE)),ROUND(VLOOKUP("2",A2:S101,10,FALSE),4),0)</f>
        <v>4200000</v>
      </c>
      <c r="K30" s="4">
        <f>IF(ISNUMBER(VLOOKUP("1",A2:S101,11,FALSE)),ROUND(VLOOKUP("1",A2:S101,11,FALSE),4),0) - IF(ISNUMBER(VLOOKUP("2",A2:S101,11,FALSE)),ROUND(VLOOKUP("2",A2:S101,11,FALSE),4),0)</f>
        <v>4500000</v>
      </c>
      <c r="L30" s="4">
        <f>IF(ISNUMBER(VLOOKUP("1",A2:S101,12,FALSE)),ROUND(VLOOKUP("1",A2:S101,12,FALSE),4),0) - IF(ISNUMBER(VLOOKUP("2",A2:S101,12,FALSE)),ROUND(VLOOKUP("2",A2:S101,12,FALSE),4),0)</f>
        <v>4800000</v>
      </c>
      <c r="M30" s="4">
        <f>IF(ISNUMBER(VLOOKUP("1",A2:S101,13,FALSE)),ROUND(VLOOKUP("1",A2:S101,13,FALSE),4),0) - IF(ISNUMBER(VLOOKUP("2",A2:S101,13,FALSE)),ROUND(VLOOKUP("2",A2:S101,13,FALSE),4),0)</f>
        <v>5000000</v>
      </c>
      <c r="N30" s="4">
        <f>IF(ISNUMBER(VLOOKUP("1",A2:S101,14,FALSE)),ROUND(VLOOKUP("1",A2:S101,14,FALSE),4),0) - IF(ISNUMBER(VLOOKUP("2",A2:S101,14,FALSE)),ROUND(VLOOKUP("2",A2:S101,14,FALSE),4),0)</f>
        <v>5900000</v>
      </c>
      <c r="O30" s="4">
        <f>IF(ISNUMBER(VLOOKUP("1",A2:S101,15,FALSE)),ROUND(VLOOKUP("1",A2:S101,15,FALSE),4),0) - IF(ISNUMBER(VLOOKUP("2",A2:S101,15,FALSE)),ROUND(VLOOKUP("2",A2:S101,15,FALSE),4),0)</f>
        <v>6100000</v>
      </c>
      <c r="P30" s="4">
        <f>IF(ISNUMBER(VLOOKUP("1",A2:S101,16,FALSE)),ROUND(VLOOKUP("1",A2:S101,16,FALSE),4),0) - IF(ISNUMBER(VLOOKUP("2",A2:S101,16,FALSE)),ROUND(VLOOKUP("2",A2:S101,16,FALSE),4),0)</f>
        <v>6100000</v>
      </c>
      <c r="Q30" s="4">
        <f>IF(ISNUMBER(VLOOKUP("1",A2:S101,17,FALSE)),ROUND(VLOOKUP("1",A2:S101,17,FALSE),4),0) - IF(ISNUMBER(VLOOKUP("2",A2:S101,17,FALSE)),ROUND(VLOOKUP("2",A2:S101,17,FALSE),4),0)</f>
        <v>6500000</v>
      </c>
      <c r="R30" s="4">
        <f>IF(ISNUMBER(VLOOKUP("1",A2:S101,18,FALSE)),ROUND(VLOOKUP("1",A2:S101,18,FALSE),4),0) - IF(ISNUMBER(VLOOKUP("2",A2:S101,18,FALSE)),ROUND(VLOOKUP("2",A2:S101,18,FALSE),4),0)</f>
        <v>5320000</v>
      </c>
      <c r="S30" s="4">
        <f>IF(ISNUMBER(VLOOKUP("1",A2:S101,19,FALSE)),ROUND(VLOOKUP("1",A2:S101,19,FALSE),4),0) - IF(ISNUMBER(VLOOKUP("2",A2:S101,19,FALSE)),ROUND(VLOOKUP("2",A2:S101,19,FALSE),4),0)</f>
        <v>6200000</v>
      </c>
    </row>
    <row r="31" spans="1:19" ht="27" customHeight="1" x14ac:dyDescent="0.25">
      <c r="A31" s="5" t="s">
        <v>74</v>
      </c>
      <c r="B31" s="6" t="s">
        <v>75</v>
      </c>
      <c r="C31" s="9">
        <f>IF(IF(ISNUMBER(VLOOKUP("3",A2:S101,3,FALSE)),ROUND(VLOOKUP("3",A2:S101,3,FALSE),4),0)&gt;0,IF(IF(ISNUMBER(VLOOKUP("3",A2:S101,3,FALSE)),ROUND(VLOOKUP("3",A2:S101,3,FALSE),4),0)&gt;IF(ISNUMBER(VLOOKUP("5.1",A2:S101,3,FALSE)),ROUND(VLOOKUP("5.1",A2:S101,3,FALSE),4),0),IF(ISNUMBER(VLOOKUP("5.1",A2:S101,3,FALSE)),ROUND(VLOOKUP("5.1",A2:S101,3,FALSE),4),0),IF(ISNUMBER(VLOOKUP("3",A2:S101,3,FALSE)),ROUND(VLOOKUP("3",A2:S101,3,FALSE),4),0)),0)</f>
        <v>0</v>
      </c>
      <c r="D31" s="9">
        <f>IF(IF(ISNUMBER(VLOOKUP("3",A2:S101,4,FALSE)),ROUND(VLOOKUP("3",A2:S101,4,FALSE),4),0)&gt;0,IF(IF(ISNUMBER(VLOOKUP("3",A2:S101,4,FALSE)),ROUND(VLOOKUP("3",A2:S101,4,FALSE),4),0)&gt;IF(ISNUMBER(VLOOKUP("5.1",A2:S101,4,FALSE)),ROUND(VLOOKUP("5.1",A2:S101,4,FALSE),4),0),IF(ISNUMBER(VLOOKUP("5.1",A2:S101,4,FALSE)),ROUND(VLOOKUP("5.1",A2:S101,4,FALSE),4),0),IF(ISNUMBER(VLOOKUP("3",A2:S101,4,FALSE)),ROUND(VLOOKUP("3",A2:S101,4,FALSE),4),0)),0)</f>
        <v>2673440</v>
      </c>
      <c r="E31" s="9">
        <f>IF(IF(ISNUMBER(VLOOKUP("3",A2:S101,5,FALSE)),ROUND(VLOOKUP("3",A2:S101,5,FALSE),4),0)&gt;0,IF(IF(ISNUMBER(VLOOKUP("3",A2:S101,5,FALSE)),ROUND(VLOOKUP("3",A2:S101,5,FALSE),4),0)&gt;IF(ISNUMBER(VLOOKUP("5.1",A2:S101,5,FALSE)),ROUND(VLOOKUP("5.1",A2:S101,5,FALSE),4),0),IF(ISNUMBER(VLOOKUP("5.1",A2:S101,5,FALSE)),ROUND(VLOOKUP("5.1",A2:S101,5,FALSE),4),0),IF(ISNUMBER(VLOOKUP("3",A2:S101,5,FALSE)),ROUND(VLOOKUP("3",A2:S101,5,FALSE),4),0)),0)</f>
        <v>2573440</v>
      </c>
      <c r="F31" s="9">
        <f>IF(IF(ISNUMBER(VLOOKUP("3",A2:S101,6,FALSE)),ROUND(VLOOKUP("3",A2:S101,6,FALSE),4),0)&gt;0,IF(IF(ISNUMBER(VLOOKUP("3",A2:S101,6,FALSE)),ROUND(VLOOKUP("3",A2:S101,6,FALSE),4),0)&gt;IF(ISNUMBER(VLOOKUP("5.1",A2:S101,6,FALSE)),ROUND(VLOOKUP("5.1",A2:S101,6,FALSE),4),0),IF(ISNUMBER(VLOOKUP("5.1",A2:S101,6,FALSE)),ROUND(VLOOKUP("5.1",A2:S101,6,FALSE),4),0),IF(ISNUMBER(VLOOKUP("3",A2:S101,6,FALSE)),ROUND(VLOOKUP("3",A2:S101,6,FALSE),4),0)),0)</f>
        <v>2573440</v>
      </c>
      <c r="G31" s="9">
        <f>IF(IF(ISNUMBER(VLOOKUP("3",A2:S101,7,FALSE)),ROUND(VLOOKUP("3",A2:S101,7,FALSE),4),0)&gt;0,IF(IF(ISNUMBER(VLOOKUP("3",A2:S101,7,FALSE)),ROUND(VLOOKUP("3",A2:S101,7,FALSE),4),0)&gt;IF(ISNUMBER(VLOOKUP("5.1",A2:S101,7,FALSE)),ROUND(VLOOKUP("5.1",A2:S101,7,FALSE),4),0),IF(ISNUMBER(VLOOKUP("5.1",A2:S101,7,FALSE)),ROUND(VLOOKUP("5.1",A2:S101,7,FALSE),4),0),IF(ISNUMBER(VLOOKUP("3",A2:S101,7,FALSE)),ROUND(VLOOKUP("3",A2:S101,7,FALSE),4),0)),0)</f>
        <v>3473440</v>
      </c>
      <c r="H31" s="9">
        <f>IF(IF(ISNUMBER(VLOOKUP("3",A2:S101,8,FALSE)),ROUND(VLOOKUP("3",A2:S101,8,FALSE),4),0)&gt;0,IF(IF(ISNUMBER(VLOOKUP("3",A2:S101,8,FALSE)),ROUND(VLOOKUP("3",A2:S101,8,FALSE),4),0)&gt;IF(ISNUMBER(VLOOKUP("5.1",A2:S101,8,FALSE)),ROUND(VLOOKUP("5.1",A2:S101,8,FALSE),4),0),IF(ISNUMBER(VLOOKUP("5.1",A2:S101,8,FALSE)),ROUND(VLOOKUP("5.1",A2:S101,8,FALSE),4),0),IF(ISNUMBER(VLOOKUP("3",A2:S101,8,FALSE)),ROUND(VLOOKUP("3",A2:S101,8,FALSE),4),0)),0)</f>
        <v>0</v>
      </c>
      <c r="I31" s="9">
        <f>IF(IF(ISNUMBER(VLOOKUP("3",A2:S101,9,FALSE)),ROUND(VLOOKUP("3",A2:S101,9,FALSE),4),0)&gt;0,IF(IF(ISNUMBER(VLOOKUP("3",A2:S101,9,FALSE)),ROUND(VLOOKUP("3",A2:S101,9,FALSE),4),0)&gt;IF(ISNUMBER(VLOOKUP("5.1",A2:S101,9,FALSE)),ROUND(VLOOKUP("5.1",A2:S101,9,FALSE),4),0),IF(ISNUMBER(VLOOKUP("5.1",A2:S101,9,FALSE)),ROUND(VLOOKUP("5.1",A2:S101,9,FALSE),4),0),IF(ISNUMBER(VLOOKUP("3",A2:S101,9,FALSE)),ROUND(VLOOKUP("3",A2:S101,9,FALSE),4),0)),0)</f>
        <v>4413167.1500000004</v>
      </c>
      <c r="J31" s="9">
        <f>IF(IF(ISNUMBER(VLOOKUP("3",A2:S101,10,FALSE)),ROUND(VLOOKUP("3",A2:S101,10,FALSE),4),0)&gt;0,IF(IF(ISNUMBER(VLOOKUP("3",A2:S101,10,FALSE)),ROUND(VLOOKUP("3",A2:S101,10,FALSE),4),0)&gt;IF(ISNUMBER(VLOOKUP("5.1",A2:S101,10,FALSE)),ROUND(VLOOKUP("5.1",A2:S101,10,FALSE),4),0),IF(ISNUMBER(VLOOKUP("5.1",A2:S101,10,FALSE)),ROUND(VLOOKUP("5.1",A2:S101,10,FALSE),4),0),IF(ISNUMBER(VLOOKUP("3",A2:S101,10,FALSE)),ROUND(VLOOKUP("3",A2:S101,10,FALSE),4),0)),0)</f>
        <v>4200000</v>
      </c>
      <c r="K31" s="9">
        <f>IF(IF(ISNUMBER(VLOOKUP("3",A2:S101,11,FALSE)),ROUND(VLOOKUP("3",A2:S101,11,FALSE),4),0)&gt;0,IF(IF(ISNUMBER(VLOOKUP("3",A2:S101,11,FALSE)),ROUND(VLOOKUP("3",A2:S101,11,FALSE),4),0)&gt;IF(ISNUMBER(VLOOKUP("5.1",A2:S101,11,FALSE)),ROUND(VLOOKUP("5.1",A2:S101,11,FALSE),4),0),IF(ISNUMBER(VLOOKUP("5.1",A2:S101,11,FALSE)),ROUND(VLOOKUP("5.1",A2:S101,11,FALSE),4),0),IF(ISNUMBER(VLOOKUP("3",A2:S101,11,FALSE)),ROUND(VLOOKUP("3",A2:S101,11,FALSE),4),0)),0)</f>
        <v>4500000</v>
      </c>
      <c r="L31" s="9">
        <f>IF(IF(ISNUMBER(VLOOKUP("3",A2:S101,12,FALSE)),ROUND(VLOOKUP("3",A2:S101,12,FALSE),4),0)&gt;0,IF(IF(ISNUMBER(VLOOKUP("3",A2:S101,12,FALSE)),ROUND(VLOOKUP("3",A2:S101,12,FALSE),4),0)&gt;IF(ISNUMBER(VLOOKUP("5.1",A2:S101,12,FALSE)),ROUND(VLOOKUP("5.1",A2:S101,12,FALSE),4),0),IF(ISNUMBER(VLOOKUP("5.1",A2:S101,12,FALSE)),ROUND(VLOOKUP("5.1",A2:S101,12,FALSE),4),0),IF(ISNUMBER(VLOOKUP("3",A2:S101,12,FALSE)),ROUND(VLOOKUP("3",A2:S101,12,FALSE),4),0)),0)</f>
        <v>4800000</v>
      </c>
      <c r="M31" s="9">
        <f>IF(IF(ISNUMBER(VLOOKUP("3",A2:S101,13,FALSE)),ROUND(VLOOKUP("3",A2:S101,13,FALSE),4),0)&gt;0,IF(IF(ISNUMBER(VLOOKUP("3",A2:S101,13,FALSE)),ROUND(VLOOKUP("3",A2:S101,13,FALSE),4),0)&gt;IF(ISNUMBER(VLOOKUP("5.1",A2:S101,13,FALSE)),ROUND(VLOOKUP("5.1",A2:S101,13,FALSE),4),0),IF(ISNUMBER(VLOOKUP("5.1",A2:S101,13,FALSE)),ROUND(VLOOKUP("5.1",A2:S101,13,FALSE),4),0),IF(ISNUMBER(VLOOKUP("3",A2:S101,13,FALSE)),ROUND(VLOOKUP("3",A2:S101,13,FALSE),4),0)),0)</f>
        <v>5000000</v>
      </c>
      <c r="N31" s="9">
        <f>IF(IF(ISNUMBER(VLOOKUP("3",A2:S101,14,FALSE)),ROUND(VLOOKUP("3",A2:S101,14,FALSE),4),0)&gt;0,IF(IF(ISNUMBER(VLOOKUP("3",A2:S101,14,FALSE)),ROUND(VLOOKUP("3",A2:S101,14,FALSE),4),0)&gt;IF(ISNUMBER(VLOOKUP("5.1",A2:S101,14,FALSE)),ROUND(VLOOKUP("5.1",A2:S101,14,FALSE),4),0),IF(ISNUMBER(VLOOKUP("5.1",A2:S101,14,FALSE)),ROUND(VLOOKUP("5.1",A2:S101,14,FALSE),4),0),IF(ISNUMBER(VLOOKUP("3",A2:S101,14,FALSE)),ROUND(VLOOKUP("3",A2:S101,14,FALSE),4),0)),0)</f>
        <v>5900000</v>
      </c>
      <c r="O31" s="9">
        <f>IF(IF(ISNUMBER(VLOOKUP("3",A2:S101,15,FALSE)),ROUND(VLOOKUP("3",A2:S101,15,FALSE),4),0)&gt;0,IF(IF(ISNUMBER(VLOOKUP("3",A2:S101,15,FALSE)),ROUND(VLOOKUP("3",A2:S101,15,FALSE),4),0)&gt;IF(ISNUMBER(VLOOKUP("5.1",A2:S101,15,FALSE)),ROUND(VLOOKUP("5.1",A2:S101,15,FALSE),4),0),IF(ISNUMBER(VLOOKUP("5.1",A2:S101,15,FALSE)),ROUND(VLOOKUP("5.1",A2:S101,15,FALSE),4),0),IF(ISNUMBER(VLOOKUP("3",A2:S101,15,FALSE)),ROUND(VLOOKUP("3",A2:S101,15,FALSE),4),0)),0)</f>
        <v>6100000</v>
      </c>
      <c r="P31" s="9">
        <f>IF(IF(ISNUMBER(VLOOKUP("3",A2:S101,16,FALSE)),ROUND(VLOOKUP("3",A2:S101,16,FALSE),4),0)&gt;0,IF(IF(ISNUMBER(VLOOKUP("3",A2:S101,16,FALSE)),ROUND(VLOOKUP("3",A2:S101,16,FALSE),4),0)&gt;IF(ISNUMBER(VLOOKUP("5.1",A2:S101,16,FALSE)),ROUND(VLOOKUP("5.1",A2:S101,16,FALSE),4),0),IF(ISNUMBER(VLOOKUP("5.1",A2:S101,16,FALSE)),ROUND(VLOOKUP("5.1",A2:S101,16,FALSE),4),0),IF(ISNUMBER(VLOOKUP("3",A2:S101,16,FALSE)),ROUND(VLOOKUP("3",A2:S101,16,FALSE),4),0)),0)</f>
        <v>6100000</v>
      </c>
      <c r="Q31" s="9">
        <f>IF(IF(ISNUMBER(VLOOKUP("3",A2:S101,17,FALSE)),ROUND(VLOOKUP("3",A2:S101,17,FALSE),4),0)&gt;0,IF(IF(ISNUMBER(VLOOKUP("3",A2:S101,17,FALSE)),ROUND(VLOOKUP("3",A2:S101,17,FALSE),4),0)&gt;IF(ISNUMBER(VLOOKUP("5.1",A2:S101,17,FALSE)),ROUND(VLOOKUP("5.1",A2:S101,17,FALSE),4),0),IF(ISNUMBER(VLOOKUP("5.1",A2:S101,17,FALSE)),ROUND(VLOOKUP("5.1",A2:S101,17,FALSE),4),0),IF(ISNUMBER(VLOOKUP("3",A2:S101,17,FALSE)),ROUND(VLOOKUP("3",A2:S101,17,FALSE),4),0)),0)</f>
        <v>6500000</v>
      </c>
      <c r="R31" s="9">
        <f>IF(IF(ISNUMBER(VLOOKUP("3",A2:S101,18,FALSE)),ROUND(VLOOKUP("3",A2:S101,18,FALSE),4),0)&gt;0,IF(IF(ISNUMBER(VLOOKUP("3",A2:S101,18,FALSE)),ROUND(VLOOKUP("3",A2:S101,18,FALSE),4),0)&gt;IF(ISNUMBER(VLOOKUP("5.1",A2:S101,18,FALSE)),ROUND(VLOOKUP("5.1",A2:S101,18,FALSE),4),0),IF(ISNUMBER(VLOOKUP("5.1",A2:S101,18,FALSE)),ROUND(VLOOKUP("5.1",A2:S101,18,FALSE),4),0),IF(ISNUMBER(VLOOKUP("3",A2:S101,18,FALSE)),ROUND(VLOOKUP("3",A2:S101,18,FALSE),4),0)),0)</f>
        <v>5320000</v>
      </c>
      <c r="S31" s="9">
        <f>IF(IF(ISNUMBER(VLOOKUP("3",A2:S101,19,FALSE)),ROUND(VLOOKUP("3",A2:S101,19,FALSE),4),0)&gt;0,IF(IF(ISNUMBER(VLOOKUP("3",A2:S101,19,FALSE)),ROUND(VLOOKUP("3",A2:S101,19,FALSE),4),0)&gt;IF(ISNUMBER(VLOOKUP("5.1",A2:S101,19,FALSE)),ROUND(VLOOKUP("5.1",A2:S101,19,FALSE),4),0),IF(ISNUMBER(VLOOKUP("5.1",A2:S101,19,FALSE)),ROUND(VLOOKUP("5.1",A2:S101,19,FALSE),4),0),IF(ISNUMBER(VLOOKUP("3",A2:S101,19,FALSE)),ROUND(VLOOKUP("3",A2:S101,19,FALSE),4),0)),0)</f>
        <v>6200000</v>
      </c>
    </row>
    <row r="32" spans="1:19" ht="14.25" customHeight="1" x14ac:dyDescent="0.25">
      <c r="A32" s="2" t="s">
        <v>76</v>
      </c>
      <c r="B32" s="3" t="s">
        <v>77</v>
      </c>
      <c r="C32" s="4">
        <f>IF(ISNUMBER(VLOOKUP("4.1",A2:S101,3,FALSE)),ROUND(VLOOKUP("4.1",A2:S101,3,FALSE),4),0) + IF(ISNUMBER(VLOOKUP("4.2",A2:S101,3,FALSE)),ROUND(VLOOKUP("4.2",A2:S101,3,FALSE),4),0) + IF(ISNUMBER(VLOOKUP("4.3",A2:S101,3,FALSE)),ROUND(VLOOKUP("4.3",A2:S101,3,FALSE),4),0) + IF(ISNUMBER(VLOOKUP("4.4",A2:S101,3,FALSE)),ROUND(VLOOKUP("4.4",A2:S101,3,FALSE),4),0) + IF(ISNUMBER(VLOOKUP("4.5",A2:S101,3,FALSE)),ROUND(VLOOKUP("4.5",A2:S101,3,FALSE),4),0)</f>
        <v>9667318.6099999994</v>
      </c>
      <c r="D32" s="4">
        <f>IF(ISNUMBER(VLOOKUP("4.1",A2:S101,4,FALSE)),ROUND(VLOOKUP("4.1",A2:S101,4,FALSE),4),0) + IF(ISNUMBER(VLOOKUP("4.2",A2:S101,4,FALSE)),ROUND(VLOOKUP("4.2",A2:S101,4,FALSE),4),0) + IF(ISNUMBER(VLOOKUP("4.3",A2:S101,4,FALSE)),ROUND(VLOOKUP("4.3",A2:S101,4,FALSE),4),0) + IF(ISNUMBER(VLOOKUP("4.4",A2:S101,4,FALSE)),ROUND(VLOOKUP("4.4",A2:S101,4,FALSE),4),0) + IF(ISNUMBER(VLOOKUP("4.5",A2:S101,4,FALSE)),ROUND(VLOOKUP("4.5",A2:S101,4,FALSE),4),0)</f>
        <v>2829446.39</v>
      </c>
      <c r="E32" s="4">
        <f>IF(ISNUMBER(VLOOKUP("4.1",A2:S101,5,FALSE)),ROUND(VLOOKUP("4.1",A2:S101,5,FALSE),4),0) + IF(ISNUMBER(VLOOKUP("4.2",A2:S101,5,FALSE)),ROUND(VLOOKUP("4.2",A2:S101,5,FALSE),4),0) + IF(ISNUMBER(VLOOKUP("4.3",A2:S101,5,FALSE)),ROUND(VLOOKUP("4.3",A2:S101,5,FALSE),4),0) + IF(ISNUMBER(VLOOKUP("4.4",A2:S101,5,FALSE)),ROUND(VLOOKUP("4.4",A2:S101,5,FALSE),4),0) + IF(ISNUMBER(VLOOKUP("4.5",A2:S101,5,FALSE)),ROUND(VLOOKUP("4.5",A2:S101,5,FALSE),4),0)</f>
        <v>31644.91</v>
      </c>
      <c r="F32" s="4">
        <f>IF(ISNUMBER(VLOOKUP("4.1",A2:S101,6,FALSE)),ROUND(VLOOKUP("4.1",A2:S101,6,FALSE),4),0) + IF(ISNUMBER(VLOOKUP("4.2",A2:S101,6,FALSE)),ROUND(VLOOKUP("4.2",A2:S101,6,FALSE),4),0) + IF(ISNUMBER(VLOOKUP("4.3",A2:S101,6,FALSE)),ROUND(VLOOKUP("4.3",A2:S101,6,FALSE),4),0) + IF(ISNUMBER(VLOOKUP("4.4",A2:S101,6,FALSE)),ROUND(VLOOKUP("4.4",A2:S101,6,FALSE),4),0) + IF(ISNUMBER(VLOOKUP("4.5",A2:S101,6,FALSE)),ROUND(VLOOKUP("4.5",A2:S101,6,FALSE),4),0)</f>
        <v>31644.91</v>
      </c>
      <c r="G32" s="4">
        <f>IF(ISNUMBER(VLOOKUP("4.1",A2:S101,7,FALSE)),ROUND(VLOOKUP("4.1",A2:S101,7,FALSE),4),0) + IF(ISNUMBER(VLOOKUP("4.2",A2:S101,7,FALSE)),ROUND(VLOOKUP("4.2",A2:S101,7,FALSE),4),0) + IF(ISNUMBER(VLOOKUP("4.3",A2:S101,7,FALSE)),ROUND(VLOOKUP("4.3",A2:S101,7,FALSE),4),0) + IF(ISNUMBER(VLOOKUP("4.4",A2:S101,7,FALSE)),ROUND(VLOOKUP("4.4",A2:S101,7,FALSE),4),0) + IF(ISNUMBER(VLOOKUP("4.5",A2:S101,7,FALSE)),ROUND(VLOOKUP("4.5",A2:S101,7,FALSE),4),0)</f>
        <v>100000</v>
      </c>
      <c r="H32" s="4">
        <f>IF(ISNUMBER(VLOOKUP("4.1",A2:S101,8,FALSE)),ROUND(VLOOKUP("4.1",A2:S101,8,FALSE),4),0) + IF(ISNUMBER(VLOOKUP("4.2",A2:S101,8,FALSE)),ROUND(VLOOKUP("4.2",A2:S101,8,FALSE),4),0) + IF(ISNUMBER(VLOOKUP("4.3",A2:S101,8,FALSE)),ROUND(VLOOKUP("4.3",A2:S101,8,FALSE),4),0) + IF(ISNUMBER(VLOOKUP("4.4",A2:S101,8,FALSE)),ROUND(VLOOKUP("4.4",A2:S101,8,FALSE),4),0) + IF(ISNUMBER(VLOOKUP("4.5",A2:S101,8,FALSE)),ROUND(VLOOKUP("4.5",A2:S101,8,FALSE),4),0)</f>
        <v>5000000</v>
      </c>
      <c r="I32" s="4">
        <f>IF(ISNUMBER(VLOOKUP("4.1",A2:S101,9,FALSE)),ROUND(VLOOKUP("4.1",A2:S101,9,FALSE),4),0) + IF(ISNUMBER(VLOOKUP("4.2",A2:S101,9,FALSE)),ROUND(VLOOKUP("4.2",A2:S101,9,FALSE),4),0) + IF(ISNUMBER(VLOOKUP("4.3",A2:S101,9,FALSE)),ROUND(VLOOKUP("4.3",A2:S101,9,FALSE),4),0) + IF(ISNUMBER(VLOOKUP("4.4",A2:S101,9,FALSE)),ROUND(VLOOKUP("4.4",A2:S101,9,FALSE),4),0) + IF(ISNUMBER(VLOOKUP("4.5",A2:S101,9,FALSE)),ROUND(VLOOKUP("4.5",A2:S101,9,FALSE),4),0)</f>
        <v>0</v>
      </c>
      <c r="J32" s="4">
        <f>IF(ISNUMBER(VLOOKUP("4.1",A2:S101,10,FALSE)),ROUND(VLOOKUP("4.1",A2:S101,10,FALSE),4),0) + IF(ISNUMBER(VLOOKUP("4.2",A2:S101,10,FALSE)),ROUND(VLOOKUP("4.2",A2:S101,10,FALSE),4),0) + IF(ISNUMBER(VLOOKUP("4.3",A2:S101,10,FALSE)),ROUND(VLOOKUP("4.3",A2:S101,10,FALSE),4),0) + IF(ISNUMBER(VLOOKUP("4.4",A2:S101,10,FALSE)),ROUND(VLOOKUP("4.4",A2:S101,10,FALSE),4),0) + IF(ISNUMBER(VLOOKUP("4.5",A2:S101,10,FALSE)),ROUND(VLOOKUP("4.5",A2:S101,10,FALSE),4),0)</f>
        <v>0</v>
      </c>
      <c r="K32" s="4">
        <f>IF(ISNUMBER(VLOOKUP("4.1",A2:S101,11,FALSE)),ROUND(VLOOKUP("4.1",A2:S101,11,FALSE),4),0) + IF(ISNUMBER(VLOOKUP("4.2",A2:S101,11,FALSE)),ROUND(VLOOKUP("4.2",A2:S101,11,FALSE),4),0) + IF(ISNUMBER(VLOOKUP("4.3",A2:S101,11,FALSE)),ROUND(VLOOKUP("4.3",A2:S101,11,FALSE),4),0) + IF(ISNUMBER(VLOOKUP("4.4",A2:S101,11,FALSE)),ROUND(VLOOKUP("4.4",A2:S101,11,FALSE),4),0) + IF(ISNUMBER(VLOOKUP("4.5",A2:S101,11,FALSE)),ROUND(VLOOKUP("4.5",A2:S101,11,FALSE),4),0)</f>
        <v>0</v>
      </c>
      <c r="L32" s="4">
        <f>IF(ISNUMBER(VLOOKUP("4.1",A2:S101,12,FALSE)),ROUND(VLOOKUP("4.1",A2:S101,12,FALSE),4),0) + IF(ISNUMBER(VLOOKUP("4.2",A2:S101,12,FALSE)),ROUND(VLOOKUP("4.2",A2:S101,12,FALSE),4),0) + IF(ISNUMBER(VLOOKUP("4.3",A2:S101,12,FALSE)),ROUND(VLOOKUP("4.3",A2:S101,12,FALSE),4),0) + IF(ISNUMBER(VLOOKUP("4.4",A2:S101,12,FALSE)),ROUND(VLOOKUP("4.4",A2:S101,12,FALSE),4),0) + IF(ISNUMBER(VLOOKUP("4.5",A2:S101,12,FALSE)),ROUND(VLOOKUP("4.5",A2:S101,12,FALSE),4),0)</f>
        <v>0</v>
      </c>
      <c r="M32" s="4">
        <f>IF(ISNUMBER(VLOOKUP("4.1",A2:S101,13,FALSE)),ROUND(VLOOKUP("4.1",A2:S101,13,FALSE),4),0) + IF(ISNUMBER(VLOOKUP("4.2",A2:S101,13,FALSE)),ROUND(VLOOKUP("4.2",A2:S101,13,FALSE),4),0) + IF(ISNUMBER(VLOOKUP("4.3",A2:S101,13,FALSE)),ROUND(VLOOKUP("4.3",A2:S101,13,FALSE),4),0) + IF(ISNUMBER(VLOOKUP("4.4",A2:S101,13,FALSE)),ROUND(VLOOKUP("4.4",A2:S101,13,FALSE),4),0) + IF(ISNUMBER(VLOOKUP("4.5",A2:S101,13,FALSE)),ROUND(VLOOKUP("4.5",A2:S101,13,FALSE),4),0)</f>
        <v>0</v>
      </c>
      <c r="N32" s="4">
        <f>IF(ISNUMBER(VLOOKUP("4.1",A2:S101,14,FALSE)),ROUND(VLOOKUP("4.1",A2:S101,14,FALSE),4),0) + IF(ISNUMBER(VLOOKUP("4.2",A2:S101,14,FALSE)),ROUND(VLOOKUP("4.2",A2:S101,14,FALSE),4),0) + IF(ISNUMBER(VLOOKUP("4.3",A2:S101,14,FALSE)),ROUND(VLOOKUP("4.3",A2:S101,14,FALSE),4),0) + IF(ISNUMBER(VLOOKUP("4.4",A2:S101,14,FALSE)),ROUND(VLOOKUP("4.4",A2:S101,14,FALSE),4),0) + IF(ISNUMBER(VLOOKUP("4.5",A2:S101,14,FALSE)),ROUND(VLOOKUP("4.5",A2:S101,14,FALSE),4),0)</f>
        <v>0</v>
      </c>
      <c r="O32" s="4">
        <f>IF(ISNUMBER(VLOOKUP("4.1",A2:S101,15,FALSE)),ROUND(VLOOKUP("4.1",A2:S101,15,FALSE),4),0) + IF(ISNUMBER(VLOOKUP("4.2",A2:S101,15,FALSE)),ROUND(VLOOKUP("4.2",A2:S101,15,FALSE),4),0) + IF(ISNUMBER(VLOOKUP("4.3",A2:S101,15,FALSE)),ROUND(VLOOKUP("4.3",A2:S101,15,FALSE),4),0) + IF(ISNUMBER(VLOOKUP("4.4",A2:S101,15,FALSE)),ROUND(VLOOKUP("4.4",A2:S101,15,FALSE),4),0) + IF(ISNUMBER(VLOOKUP("4.5",A2:S101,15,FALSE)),ROUND(VLOOKUP("4.5",A2:S101,15,FALSE),4),0)</f>
        <v>0</v>
      </c>
      <c r="P32" s="4">
        <f>IF(ISNUMBER(VLOOKUP("4.1",A2:S101,16,FALSE)),ROUND(VLOOKUP("4.1",A2:S101,16,FALSE),4),0) + IF(ISNUMBER(VLOOKUP("4.2",A2:S101,16,FALSE)),ROUND(VLOOKUP("4.2",A2:S101,16,FALSE),4),0) + IF(ISNUMBER(VLOOKUP("4.3",A2:S101,16,FALSE)),ROUND(VLOOKUP("4.3",A2:S101,16,FALSE),4),0) + IF(ISNUMBER(VLOOKUP("4.4",A2:S101,16,FALSE)),ROUND(VLOOKUP("4.4",A2:S101,16,FALSE),4),0) + IF(ISNUMBER(VLOOKUP("4.5",A2:S101,16,FALSE)),ROUND(VLOOKUP("4.5",A2:S101,16,FALSE),4),0)</f>
        <v>0</v>
      </c>
      <c r="Q32" s="4">
        <f>IF(ISNUMBER(VLOOKUP("4.1",A2:S101,17,FALSE)),ROUND(VLOOKUP("4.1",A2:S101,17,FALSE),4),0) + IF(ISNUMBER(VLOOKUP("4.2",A2:S101,17,FALSE)),ROUND(VLOOKUP("4.2",A2:S101,17,FALSE),4),0) + IF(ISNUMBER(VLOOKUP("4.3",A2:S101,17,FALSE)),ROUND(VLOOKUP("4.3",A2:S101,17,FALSE),4),0) + IF(ISNUMBER(VLOOKUP("4.4",A2:S101,17,FALSE)),ROUND(VLOOKUP("4.4",A2:S101,17,FALSE),4),0) + IF(ISNUMBER(VLOOKUP("4.5",A2:S101,17,FALSE)),ROUND(VLOOKUP("4.5",A2:S101,17,FALSE),4),0)</f>
        <v>0</v>
      </c>
      <c r="R32" s="4">
        <f>IF(ISNUMBER(VLOOKUP("4.1",A2:S101,18,FALSE)),ROUND(VLOOKUP("4.1",A2:S101,18,FALSE),4),0) + IF(ISNUMBER(VLOOKUP("4.2",A2:S101,18,FALSE)),ROUND(VLOOKUP("4.2",A2:S101,18,FALSE),4),0) + IF(ISNUMBER(VLOOKUP("4.3",A2:S101,18,FALSE)),ROUND(VLOOKUP("4.3",A2:S101,18,FALSE),4),0) + IF(ISNUMBER(VLOOKUP("4.4",A2:S101,18,FALSE)),ROUND(VLOOKUP("4.4",A2:S101,18,FALSE),4),0) + IF(ISNUMBER(VLOOKUP("4.5",A2:S101,18,FALSE)),ROUND(VLOOKUP("4.5",A2:S101,18,FALSE),4),0)</f>
        <v>0</v>
      </c>
      <c r="S32" s="4">
        <f>IF(ISNUMBER(VLOOKUP("4.1",A2:S101,19,FALSE)),ROUND(VLOOKUP("4.1",A2:S101,19,FALSE),4),0) + IF(ISNUMBER(VLOOKUP("4.2",A2:S101,19,FALSE)),ROUND(VLOOKUP("4.2",A2:S101,19,FALSE),4),0) + IF(ISNUMBER(VLOOKUP("4.3",A2:S101,19,FALSE)),ROUND(VLOOKUP("4.3",A2:S101,19,FALSE),4),0) + IF(ISNUMBER(VLOOKUP("4.4",A2:S101,19,FALSE)),ROUND(VLOOKUP("4.4",A2:S101,19,FALSE),4),0) + IF(ISNUMBER(VLOOKUP("4.5",A2:S101,19,FALSE)),ROUND(VLOOKUP("4.5",A2:S101,19,FALSE),4),0)</f>
        <v>0</v>
      </c>
    </row>
    <row r="33" spans="1:19" ht="14.25" customHeight="1" x14ac:dyDescent="0.25">
      <c r="A33" s="2" t="s">
        <v>78</v>
      </c>
      <c r="B33" s="3" t="s">
        <v>79</v>
      </c>
      <c r="C33" s="4">
        <v>8400000</v>
      </c>
      <c r="D33" s="4">
        <v>0</v>
      </c>
      <c r="E33" s="4">
        <v>0</v>
      </c>
      <c r="F33" s="4">
        <v>0</v>
      </c>
      <c r="G33" s="4">
        <v>0</v>
      </c>
      <c r="H33" s="4">
        <v>5000000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</row>
    <row r="34" spans="1:19" ht="14.25" customHeight="1" x14ac:dyDescent="0.25">
      <c r="A34" s="5" t="s">
        <v>80</v>
      </c>
      <c r="B34" s="6" t="s">
        <v>81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1126560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</row>
    <row r="35" spans="1:19" ht="14.25" customHeight="1" x14ac:dyDescent="0.25">
      <c r="A35" s="2" t="s">
        <v>82</v>
      </c>
      <c r="B35" s="3" t="s">
        <v>83</v>
      </c>
      <c r="C35" s="10">
        <v>0</v>
      </c>
      <c r="D35" s="10">
        <v>0</v>
      </c>
      <c r="E35" s="10">
        <v>31644.91</v>
      </c>
      <c r="F35" s="10">
        <v>31644.91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</row>
    <row r="36" spans="1:19" ht="14.25" customHeight="1" x14ac:dyDescent="0.25">
      <c r="A36" s="5" t="s">
        <v>84</v>
      </c>
      <c r="B36" s="6" t="s">
        <v>81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</row>
    <row r="37" spans="1:19" ht="27" customHeight="1" x14ac:dyDescent="0.25">
      <c r="A37" s="5" t="s">
        <v>85</v>
      </c>
      <c r="B37" s="6" t="s">
        <v>86</v>
      </c>
      <c r="C37" s="7">
        <v>1267318.6100000001</v>
      </c>
      <c r="D37" s="7">
        <v>2829446.39</v>
      </c>
      <c r="E37" s="7">
        <v>0</v>
      </c>
      <c r="F37" s="7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</row>
    <row r="38" spans="1:19" ht="14.25" customHeight="1" x14ac:dyDescent="0.25">
      <c r="A38" s="5" t="s">
        <v>87</v>
      </c>
      <c r="B38" s="6" t="s">
        <v>81</v>
      </c>
      <c r="C38" s="9">
        <v>984432.22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</row>
    <row r="39" spans="1:19" ht="14.25" customHeight="1" x14ac:dyDescent="0.25">
      <c r="A39" s="5" t="s">
        <v>88</v>
      </c>
      <c r="B39" s="6" t="s">
        <v>89</v>
      </c>
      <c r="C39" s="7">
        <v>0</v>
      </c>
      <c r="D39" s="7">
        <v>0</v>
      </c>
      <c r="E39" s="7">
        <v>0</v>
      </c>
      <c r="F39" s="7">
        <v>0</v>
      </c>
      <c r="G39" s="8">
        <v>100000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</row>
    <row r="40" spans="1:19" ht="14.25" customHeight="1" x14ac:dyDescent="0.25">
      <c r="A40" s="5" t="s">
        <v>90</v>
      </c>
      <c r="B40" s="6" t="s">
        <v>81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</row>
    <row r="41" spans="1:19" ht="14.25" customHeight="1" x14ac:dyDescent="0.25">
      <c r="A41" s="2" t="s">
        <v>91</v>
      </c>
      <c r="B41" s="3" t="s">
        <v>92</v>
      </c>
      <c r="C41" s="10">
        <v>0</v>
      </c>
      <c r="D41" s="10">
        <v>0</v>
      </c>
      <c r="E41" s="10">
        <v>0</v>
      </c>
      <c r="F41" s="10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</row>
    <row r="42" spans="1:19" ht="14.25" customHeight="1" x14ac:dyDescent="0.25">
      <c r="A42" s="5" t="s">
        <v>93</v>
      </c>
      <c r="B42" s="6" t="s">
        <v>81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</row>
    <row r="43" spans="1:19" ht="14.25" customHeight="1" x14ac:dyDescent="0.25">
      <c r="A43" s="2" t="s">
        <v>94</v>
      </c>
      <c r="B43" s="3" t="s">
        <v>95</v>
      </c>
      <c r="C43" s="4">
        <f>IF(ISNUMBER(VLOOKUP("5.1",A2:S101,3,FALSE)),ROUND(VLOOKUP("5.1",A2:S101,3,FALSE),4),0) + IF(ISNUMBER(VLOOKUP("5.2",A2:S101,3,FALSE)),ROUND(VLOOKUP("5.2",A2:S101,3,FALSE),4),0)</f>
        <v>5853440</v>
      </c>
      <c r="D43" s="4">
        <f>IF(ISNUMBER(VLOOKUP("5.1",A2:S101,4,FALSE)),ROUND(VLOOKUP("5.1",A2:S101,4,FALSE),4),0) + IF(ISNUMBER(VLOOKUP("5.2",A2:S101,4,FALSE)),ROUND(VLOOKUP("5.2",A2:S101,4,FALSE),4),0)</f>
        <v>2673440</v>
      </c>
      <c r="E43" s="4">
        <f>IF(ISNUMBER(VLOOKUP("5.1",A2:S101,5,FALSE)),ROUND(VLOOKUP("5.1",A2:S101,5,FALSE),4),0) + IF(ISNUMBER(VLOOKUP("5.2",A2:S101,5,FALSE)),ROUND(VLOOKUP("5.2",A2:S101,5,FALSE),4),0)</f>
        <v>2673440</v>
      </c>
      <c r="F43" s="4">
        <f>IF(ISNUMBER(VLOOKUP("5.1",A2:S101,6,FALSE)),ROUND(VLOOKUP("5.1",A2:S101,6,FALSE),4),0) + IF(ISNUMBER(VLOOKUP("5.2",A2:S101,6,FALSE)),ROUND(VLOOKUP("5.2",A2:S101,6,FALSE),4),0)</f>
        <v>2673440</v>
      </c>
      <c r="G43" s="4">
        <f>IF(ISNUMBER(VLOOKUP("5.1",A2:S101,7,FALSE)),ROUND(VLOOKUP("5.1",A2:S101,7,FALSE),4),0) + IF(ISNUMBER(VLOOKUP("5.2",A2:S101,7,FALSE)),ROUND(VLOOKUP("5.2",A2:S101,7,FALSE),4),0)</f>
        <v>3573440</v>
      </c>
      <c r="H43" s="4">
        <f>IF(ISNUMBER(VLOOKUP("5.1",A2:S101,8,FALSE)),ROUND(VLOOKUP("5.1",A2:S101,8,FALSE),4),0) + IF(ISNUMBER(VLOOKUP("5.2",A2:S101,8,FALSE)),ROUND(VLOOKUP("5.2",A2:S101,8,FALSE),4),0)</f>
        <v>3873440</v>
      </c>
      <c r="I43" s="4">
        <f>IF(ISNUMBER(VLOOKUP("5.1",A2:S101,9,FALSE)),ROUND(VLOOKUP("5.1",A2:S101,9,FALSE),4),0) + IF(ISNUMBER(VLOOKUP("5.2",A2:S101,9,FALSE)),ROUND(VLOOKUP("5.2",A2:S101,9,FALSE),4),0)</f>
        <v>4413167.1500000004</v>
      </c>
      <c r="J43" s="4">
        <f>IF(ISNUMBER(VLOOKUP("5.1",A2:S101,10,FALSE)),ROUND(VLOOKUP("5.1",A2:S101,10,FALSE),4),0) + IF(ISNUMBER(VLOOKUP("5.2",A2:S101,10,FALSE)),ROUND(VLOOKUP("5.2",A2:S101,10,FALSE),4),0)</f>
        <v>4200000</v>
      </c>
      <c r="K43" s="4">
        <f>IF(ISNUMBER(VLOOKUP("5.1",A2:S101,11,FALSE)),ROUND(VLOOKUP("5.1",A2:S101,11,FALSE),4),0) + IF(ISNUMBER(VLOOKUP("5.2",A2:S101,11,FALSE)),ROUND(VLOOKUP("5.2",A2:S101,11,FALSE),4),0)</f>
        <v>4500000</v>
      </c>
      <c r="L43" s="4">
        <f>IF(ISNUMBER(VLOOKUP("5.1",A2:S101,12,FALSE)),ROUND(VLOOKUP("5.1",A2:S101,12,FALSE),4),0) + IF(ISNUMBER(VLOOKUP("5.2",A2:S101,12,FALSE)),ROUND(VLOOKUP("5.2",A2:S101,12,FALSE),4),0)</f>
        <v>4800000</v>
      </c>
      <c r="M43" s="4">
        <f>IF(ISNUMBER(VLOOKUP("5.1",A2:S101,13,FALSE)),ROUND(VLOOKUP("5.1",A2:S101,13,FALSE),4),0) + IF(ISNUMBER(VLOOKUP("5.2",A2:S101,13,FALSE)),ROUND(VLOOKUP("5.2",A2:S101,13,FALSE),4),0)</f>
        <v>5000000</v>
      </c>
      <c r="N43" s="4">
        <f>IF(ISNUMBER(VLOOKUP("5.1",A2:S101,14,FALSE)),ROUND(VLOOKUP("5.1",A2:S101,14,FALSE),4),0) + IF(ISNUMBER(VLOOKUP("5.2",A2:S101,14,FALSE)),ROUND(VLOOKUP("5.2",A2:S101,14,FALSE),4),0)</f>
        <v>5900000</v>
      </c>
      <c r="O43" s="4">
        <f>IF(ISNUMBER(VLOOKUP("5.1",A2:S101,15,FALSE)),ROUND(VLOOKUP("5.1",A2:S101,15,FALSE),4),0) + IF(ISNUMBER(VLOOKUP("5.2",A2:S101,15,FALSE)),ROUND(VLOOKUP("5.2",A2:S101,15,FALSE),4),0)</f>
        <v>6100000</v>
      </c>
      <c r="P43" s="4">
        <f>IF(ISNUMBER(VLOOKUP("5.1",A2:S101,16,FALSE)),ROUND(VLOOKUP("5.1",A2:S101,16,FALSE),4),0) + IF(ISNUMBER(VLOOKUP("5.2",A2:S101,16,FALSE)),ROUND(VLOOKUP("5.2",A2:S101,16,FALSE),4),0)</f>
        <v>6100000</v>
      </c>
      <c r="Q43" s="4">
        <f>IF(ISNUMBER(VLOOKUP("5.1",A2:S101,17,FALSE)),ROUND(VLOOKUP("5.1",A2:S101,17,FALSE),4),0) + IF(ISNUMBER(VLOOKUP("5.2",A2:S101,17,FALSE)),ROUND(VLOOKUP("5.2",A2:S101,17,FALSE),4),0)</f>
        <v>6500000</v>
      </c>
      <c r="R43" s="4">
        <f>IF(ISNUMBER(VLOOKUP("5.1",A2:S101,18,FALSE)),ROUND(VLOOKUP("5.1",A2:S101,18,FALSE),4),0) + IF(ISNUMBER(VLOOKUP("5.2",A2:S101,18,FALSE)),ROUND(VLOOKUP("5.2",A2:S101,18,FALSE),4),0)</f>
        <v>5320000</v>
      </c>
      <c r="S43" s="4">
        <f>IF(ISNUMBER(VLOOKUP("5.1",A2:S101,19,FALSE)),ROUND(VLOOKUP("5.1",A2:S101,19,FALSE),4),0) + IF(ISNUMBER(VLOOKUP("5.2",A2:S101,19,FALSE)),ROUND(VLOOKUP("5.2",A2:S101,19,FALSE),4),0)</f>
        <v>6200000</v>
      </c>
    </row>
    <row r="44" spans="1:19" ht="27" customHeight="1" x14ac:dyDescent="0.25">
      <c r="A44" s="2" t="s">
        <v>96</v>
      </c>
      <c r="B44" s="3" t="s">
        <v>97</v>
      </c>
      <c r="C44" s="4">
        <v>5853440</v>
      </c>
      <c r="D44" s="4">
        <v>2673440</v>
      </c>
      <c r="E44" s="4">
        <v>2573440</v>
      </c>
      <c r="F44" s="4">
        <v>2573440</v>
      </c>
      <c r="G44" s="4">
        <v>3573440</v>
      </c>
      <c r="H44" s="4">
        <v>3873440</v>
      </c>
      <c r="I44" s="4">
        <v>4413167.1500000004</v>
      </c>
      <c r="J44" s="4">
        <v>4200000</v>
      </c>
      <c r="K44" s="4">
        <v>4500000</v>
      </c>
      <c r="L44" s="4">
        <v>4800000</v>
      </c>
      <c r="M44" s="4">
        <v>5000000</v>
      </c>
      <c r="N44" s="4">
        <v>5900000</v>
      </c>
      <c r="O44" s="4">
        <v>6100000</v>
      </c>
      <c r="P44" s="4">
        <v>6100000</v>
      </c>
      <c r="Q44" s="4">
        <v>6500000</v>
      </c>
      <c r="R44" s="4">
        <v>5320000</v>
      </c>
      <c r="S44" s="4">
        <v>6200000</v>
      </c>
    </row>
    <row r="45" spans="1:19" ht="27" customHeight="1" x14ac:dyDescent="0.25">
      <c r="A45" s="5" t="s">
        <v>98</v>
      </c>
      <c r="B45" s="6" t="s">
        <v>99</v>
      </c>
      <c r="C45" s="9">
        <f>IF(ISNUMBER(VLOOKUP("5.1.1.1",A2:S101,3,FALSE)),ROUND(VLOOKUP("5.1.1.1",A2:S101,3,FALSE),4),0) + IF(ISNUMBER(VLOOKUP("5.1.1.2",A2:S101,3,FALSE)),ROUND(VLOOKUP("5.1.1.2",A2:S101,3,FALSE),4),0) + IF(ISNUMBER(VLOOKUP("5.1.1.3",A2:S101,3,FALSE)),ROUND(VLOOKUP("5.1.1.3",A2:S101,3,FALSE),4),0)+ IF(ISNUMBER(VLOOKUP("5.1.1.4",A2:S101,3,FALSE)),ROUND(VLOOKUP("5.1.1.4",A2:S101,3,FALSE),4),0)</f>
        <v>2783226.63</v>
      </c>
      <c r="D45" s="9">
        <f>IF(ISNUMBER(VLOOKUP("5.1.1.1",A2:S101,4,FALSE)),ROUND(VLOOKUP("5.1.1.1",A2:S101,4,FALSE),4),0) + IF(ISNUMBER(VLOOKUP("5.1.1.2",A2:S101,4,FALSE)),ROUND(VLOOKUP("5.1.1.2",A2:S101,4,FALSE),4),0) + IF(ISNUMBER(VLOOKUP("5.1.1.3",A2:S101,4,FALSE)),ROUND(VLOOKUP("5.1.1.3",A2:S101,4,FALSE),4),0)+ IF(ISNUMBER(VLOOKUP("5.1.1.4",A2:S101,4,FALSE)),ROUND(VLOOKUP("5.1.1.4",A2:S101,4,FALSE),4),0)</f>
        <v>0</v>
      </c>
      <c r="E45" s="9">
        <f>IF(ISNUMBER(VLOOKUP("5.1.1.1",A2:S101,5,FALSE)),ROUND(VLOOKUP("5.1.1.1",A2:S101,5,FALSE),4),0) + IF(ISNUMBER(VLOOKUP("5.1.1.2",A2:S101,5,FALSE)),ROUND(VLOOKUP("5.1.1.2",A2:S101,5,FALSE),4),0) + IF(ISNUMBER(VLOOKUP("5.1.1.3",A2:S101,5,FALSE)),ROUND(VLOOKUP("5.1.1.3",A2:S101,5,FALSE),4),0)+ IF(ISNUMBER(VLOOKUP("5.1.1.4",A2:S101,5,FALSE)),ROUND(VLOOKUP("5.1.1.4",A2:S101,5,FALSE),4),0)</f>
        <v>0</v>
      </c>
      <c r="F45" s="9">
        <f>IF(ISNUMBER(VLOOKUP("5.1.1.1",A2:S101,6,FALSE)),ROUND(VLOOKUP("5.1.1.1",A2:S101,6,FALSE),4),0) + IF(ISNUMBER(VLOOKUP("5.1.1.2",A2:S101,6,FALSE)),ROUND(VLOOKUP("5.1.1.2",A2:S101,6,FALSE),4),0) + IF(ISNUMBER(VLOOKUP("5.1.1.3",A2:S101,6,FALSE)),ROUND(VLOOKUP("5.1.1.3",A2:S101,6,FALSE),4),0)+ IF(ISNUMBER(VLOOKUP("5.1.1.4",A2:S101,6,FALSE)),ROUND(VLOOKUP("5.1.1.4",A2:S101,6,FALSE),4),0)</f>
        <v>100000</v>
      </c>
      <c r="G45" s="9">
        <f>IF(ISNUMBER(VLOOKUP("5.1.1.1",A2:S101,7,FALSE)),ROUND(VLOOKUP("5.1.1.1",A2:S101,7,FALSE),4),0) + IF(ISNUMBER(VLOOKUP("5.1.1.2",A2:S101,7,FALSE)),ROUND(VLOOKUP("5.1.1.2",A2:S101,7,FALSE),4),0) + IF(ISNUMBER(VLOOKUP("5.1.1.3",A2:S101,7,FALSE)),ROUND(VLOOKUP("5.1.1.3",A2:S101,7,FALSE),4),0)+ IF(ISNUMBER(VLOOKUP("5.1.1.4",A2:S101,7,FALSE)),ROUND(VLOOKUP("5.1.1.4",A2:S101,7,FALSE),4),0)</f>
        <v>590208.06999999995</v>
      </c>
      <c r="H45" s="9">
        <f>IF(ISNUMBER(VLOOKUP("5.1.1.1",A2:S101,8,FALSE)),ROUND(VLOOKUP("5.1.1.1",A2:S101,8,FALSE),4),0) + IF(ISNUMBER(VLOOKUP("5.1.1.2",A2:S101,8,FALSE)),ROUND(VLOOKUP("5.1.1.2",A2:S101,8,FALSE),4),0) + IF(ISNUMBER(VLOOKUP("5.1.1.3",A2:S101,8,FALSE)),ROUND(VLOOKUP("5.1.1.3",A2:S101,8,FALSE),4),0)+ IF(ISNUMBER(VLOOKUP("5.1.1.4",A2:S101,8,FALSE)),ROUND(VLOOKUP("5.1.1.4",A2:S101,8,FALSE),4),0)</f>
        <v>524106</v>
      </c>
      <c r="I45" s="9">
        <f>IF(ISNUMBER(VLOOKUP("5.1.1.1",A2:S101,9,FALSE)),ROUND(VLOOKUP("5.1.1.1",A2:S101,9,FALSE),4),0) + IF(ISNUMBER(VLOOKUP("5.1.1.2",A2:S101,9,FALSE)),ROUND(VLOOKUP("5.1.1.2",A2:S101,9,FALSE),4),0) + IF(ISNUMBER(VLOOKUP("5.1.1.3",A2:S101,9,FALSE)),ROUND(VLOOKUP("5.1.1.3",A2:S101,9,FALSE),4),0)+ IF(ISNUMBER(VLOOKUP("5.1.1.4",A2:S101,9,FALSE)),ROUND(VLOOKUP("5.1.1.4",A2:S101,9,FALSE),4),0)</f>
        <v>0</v>
      </c>
      <c r="J45" s="9">
        <f>IF(ISNUMBER(VLOOKUP("5.1.1.1",A2:S101,10,FALSE)),ROUND(VLOOKUP("5.1.1.1",A2:S101,10,FALSE),4),0) + IF(ISNUMBER(VLOOKUP("5.1.1.2",A2:S101,10,FALSE)),ROUND(VLOOKUP("5.1.1.2",A2:S101,10,FALSE),4),0) + IF(ISNUMBER(VLOOKUP("5.1.1.3",A2:S101,10,FALSE)),ROUND(VLOOKUP("5.1.1.3",A2:S101,10,FALSE),4),0)+ IF(ISNUMBER(VLOOKUP("5.1.1.4",A2:S101,10,FALSE)),ROUND(VLOOKUP("5.1.1.4",A2:S101,10,FALSE),4),0)</f>
        <v>0</v>
      </c>
      <c r="K45" s="9">
        <f>IF(ISNUMBER(VLOOKUP("5.1.1.1",A2:S101,11,FALSE)),ROUND(VLOOKUP("5.1.1.1",A2:S101,11,FALSE),4),0) + IF(ISNUMBER(VLOOKUP("5.1.1.2",A2:S101,11,FALSE)),ROUND(VLOOKUP("5.1.1.2",A2:S101,11,FALSE),4),0) + IF(ISNUMBER(VLOOKUP("5.1.1.3",A2:S101,11,FALSE)),ROUND(VLOOKUP("5.1.1.3",A2:S101,11,FALSE),4),0)+ IF(ISNUMBER(VLOOKUP("5.1.1.4",A2:S101,11,FALSE)),ROUND(VLOOKUP("5.1.1.4",A2:S101,11,FALSE),4),0)</f>
        <v>0</v>
      </c>
      <c r="L45" s="9">
        <f>IF(ISNUMBER(VLOOKUP("5.1.1.1",A2:S101,12,FALSE)),ROUND(VLOOKUP("5.1.1.1",A2:S101,12,FALSE),4),0) + IF(ISNUMBER(VLOOKUP("5.1.1.2",A2:S101,12,FALSE)),ROUND(VLOOKUP("5.1.1.2",A2:S101,12,FALSE),4),0) + IF(ISNUMBER(VLOOKUP("5.1.1.3",A2:S101,12,FALSE)),ROUND(VLOOKUP("5.1.1.3",A2:S101,12,FALSE),4),0)+ IF(ISNUMBER(VLOOKUP("5.1.1.4",A2:S101,12,FALSE)),ROUND(VLOOKUP("5.1.1.4",A2:S101,12,FALSE),4),0)</f>
        <v>0</v>
      </c>
      <c r="M45" s="9">
        <f>IF(ISNUMBER(VLOOKUP("5.1.1.1",A2:S101,13,FALSE)),ROUND(VLOOKUP("5.1.1.1",A2:S101,13,FALSE),4),0) + IF(ISNUMBER(VLOOKUP("5.1.1.2",A2:S101,13,FALSE)),ROUND(VLOOKUP("5.1.1.2",A2:S101,13,FALSE),4),0) + IF(ISNUMBER(VLOOKUP("5.1.1.3",A2:S101,13,FALSE)),ROUND(VLOOKUP("5.1.1.3",A2:S101,13,FALSE),4),0)+ IF(ISNUMBER(VLOOKUP("5.1.1.4",A2:S101,13,FALSE)),ROUND(VLOOKUP("5.1.1.4",A2:S101,13,FALSE),4),0)</f>
        <v>0</v>
      </c>
      <c r="N45" s="9">
        <f>IF(ISNUMBER(VLOOKUP("5.1.1.1",A2:S101,14,FALSE)),ROUND(VLOOKUP("5.1.1.1",A2:S101,14,FALSE),4),0) + IF(ISNUMBER(VLOOKUP("5.1.1.2",A2:S101,14,FALSE)),ROUND(VLOOKUP("5.1.1.2",A2:S101,14,FALSE),4),0) + IF(ISNUMBER(VLOOKUP("5.1.1.3",A2:S101,14,FALSE)),ROUND(VLOOKUP("5.1.1.3",A2:S101,14,FALSE),4),0)+ IF(ISNUMBER(VLOOKUP("5.1.1.4",A2:S101,14,FALSE)),ROUND(VLOOKUP("5.1.1.4",A2:S101,14,FALSE),4),0)</f>
        <v>0</v>
      </c>
      <c r="O45" s="9">
        <f>IF(ISNUMBER(VLOOKUP("5.1.1.1",A2:S101,15,FALSE)),ROUND(VLOOKUP("5.1.1.1",A2:S101,15,FALSE),4),0) + IF(ISNUMBER(VLOOKUP("5.1.1.2",A2:S101,15,FALSE)),ROUND(VLOOKUP("5.1.1.2",A2:S101,15,FALSE),4),0) + IF(ISNUMBER(VLOOKUP("5.1.1.3",A2:S101,15,FALSE)),ROUND(VLOOKUP("5.1.1.3",A2:S101,15,FALSE),4),0)+ IF(ISNUMBER(VLOOKUP("5.1.1.4",A2:S101,15,FALSE)),ROUND(VLOOKUP("5.1.1.4",A2:S101,15,FALSE),4),0)</f>
        <v>0</v>
      </c>
      <c r="P45" s="9">
        <f>IF(ISNUMBER(VLOOKUP("5.1.1.1",A2:S101,16,FALSE)),ROUND(VLOOKUP("5.1.1.1",A2:S101,16,FALSE),4),0) + IF(ISNUMBER(VLOOKUP("5.1.1.2",A2:S101,16,FALSE)),ROUND(VLOOKUP("5.1.1.2",A2:S101,16,FALSE),4),0) + IF(ISNUMBER(VLOOKUP("5.1.1.3",A2:S101,16,FALSE)),ROUND(VLOOKUP("5.1.1.3",A2:S101,16,FALSE),4),0)+ IF(ISNUMBER(VLOOKUP("5.1.1.4",A2:S101,16,FALSE)),ROUND(VLOOKUP("5.1.1.4",A2:S101,16,FALSE),4),0)</f>
        <v>476808.21</v>
      </c>
      <c r="Q45" s="9">
        <f>IF(ISNUMBER(VLOOKUP("5.1.1.1",A2:S101,17,FALSE)),ROUND(VLOOKUP("5.1.1.1",A2:S101,17,FALSE),4),0) + IF(ISNUMBER(VLOOKUP("5.1.1.2",A2:S101,17,FALSE)),ROUND(VLOOKUP("5.1.1.2",A2:S101,17,FALSE),4),0) + IF(ISNUMBER(VLOOKUP("5.1.1.3",A2:S101,17,FALSE)),ROUND(VLOOKUP("5.1.1.3",A2:S101,17,FALSE),4),0)+ IF(ISNUMBER(VLOOKUP("5.1.1.4",A2:S101,17,FALSE)),ROUND(VLOOKUP("5.1.1.4",A2:S101,17,FALSE),4),0)</f>
        <v>0</v>
      </c>
      <c r="R45" s="9">
        <f>IF(ISNUMBER(VLOOKUP("5.1.1.1",A2:S101,18,FALSE)),ROUND(VLOOKUP("5.1.1.1",A2:S101,18,FALSE),4),0) + IF(ISNUMBER(VLOOKUP("5.1.1.2",A2:S101,18,FALSE)),ROUND(VLOOKUP("5.1.1.2",A2:S101,18,FALSE),4),0) + IF(ISNUMBER(VLOOKUP("5.1.1.3",A2:S101,18,FALSE)),ROUND(VLOOKUP("5.1.1.3",A2:S101,18,FALSE),4),0)+ IF(ISNUMBER(VLOOKUP("5.1.1.4",A2:S101,18,FALSE)),ROUND(VLOOKUP("5.1.1.4",A2:S101,18,FALSE),4),0)</f>
        <v>842650.87</v>
      </c>
      <c r="S45" s="9">
        <f>IF(ISNUMBER(VLOOKUP("5.1.1.1",A2:S101,19,FALSE)),ROUND(VLOOKUP("5.1.1.1",A2:S101,19,FALSE),4),0) + IF(ISNUMBER(VLOOKUP("5.1.1.2",A2:S101,19,FALSE)),ROUND(VLOOKUP("5.1.1.2",A2:S101,19,FALSE),4),0) + IF(ISNUMBER(VLOOKUP("5.1.1.3",A2:S101,19,FALSE)),ROUND(VLOOKUP("5.1.1.3",A2:S101,19,FALSE),4),0)+ IF(ISNUMBER(VLOOKUP("5.1.1.4",A2:S101,19,FALSE)),ROUND(VLOOKUP("5.1.1.4",A2:S101,19,FALSE),4),0)</f>
        <v>0</v>
      </c>
    </row>
    <row r="46" spans="1:19" ht="27" customHeight="1" x14ac:dyDescent="0.25">
      <c r="A46" s="5" t="s">
        <v>100</v>
      </c>
      <c r="B46" s="6" t="s">
        <v>101</v>
      </c>
      <c r="C46" s="9">
        <v>2533851.7799999998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</row>
    <row r="47" spans="1:19" ht="27" customHeight="1" x14ac:dyDescent="0.25">
      <c r="A47" s="5" t="s">
        <v>102</v>
      </c>
      <c r="B47" s="6" t="s">
        <v>103</v>
      </c>
      <c r="C47" s="9">
        <v>249374.85</v>
      </c>
      <c r="D47" s="9">
        <v>0</v>
      </c>
      <c r="E47" s="9">
        <v>0</v>
      </c>
      <c r="F47" s="9">
        <v>100000</v>
      </c>
      <c r="G47" s="9">
        <v>590208.06999999995</v>
      </c>
      <c r="H47" s="9">
        <v>524106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476808.21</v>
      </c>
      <c r="Q47" s="9">
        <v>0</v>
      </c>
      <c r="R47" s="9">
        <v>842650.87</v>
      </c>
      <c r="S47" s="9">
        <v>0</v>
      </c>
    </row>
    <row r="48" spans="1:19" ht="27" customHeight="1" x14ac:dyDescent="0.25">
      <c r="A48" s="5" t="s">
        <v>104</v>
      </c>
      <c r="B48" s="6" t="s">
        <v>105</v>
      </c>
      <c r="C48" s="9">
        <f>IF(ISNUMBER(VLOOKUP("5.1.1.3.1",A2:S101,3,FALSE)),ROUND(VLOOKUP("5.1.1.3.1",A2:S101,3,FALSE),4),0) + IF(ISNUMBER(VLOOKUP("5.1.1.3.2",A2:S101,3,FALSE)),ROUND(VLOOKUP("5.1.1.3.2",A2:S101,3,FALSE),4),0) + IF(ISNUMBER(VLOOKUP("5.1.1.3.3",A2:S101,3,FALSE)),ROUND(VLOOKUP("5.1.1.3.3",A2:S101,3,FALSE),4),0)</f>
        <v>0</v>
      </c>
      <c r="D48" s="9">
        <f>IF(ISNUMBER(VLOOKUP("5.1.1.3.1",A2:S101,4,FALSE)),ROUND(VLOOKUP("5.1.1.3.1",A2:S101,4,FALSE),4),0) + IF(ISNUMBER(VLOOKUP("5.1.1.3.2",A2:S101,4,FALSE)),ROUND(VLOOKUP("5.1.1.3.2",A2:S101,4,FALSE),4),0) + IF(ISNUMBER(VLOOKUP("5.1.1.3.3",A2:S101,4,FALSE)),ROUND(VLOOKUP("5.1.1.3.3",A2:S101,4,FALSE),4),0)</f>
        <v>0</v>
      </c>
      <c r="E48" s="9">
        <f>IF(ISNUMBER(VLOOKUP("5.1.1.3.1",A2:S101,5,FALSE)),ROUND(VLOOKUP("5.1.1.3.1",A2:S101,5,FALSE),4),0) + IF(ISNUMBER(VLOOKUP("5.1.1.3.2",A2:S101,5,FALSE)),ROUND(VLOOKUP("5.1.1.3.2",A2:S101,5,FALSE),4),0) + IF(ISNUMBER(VLOOKUP("5.1.1.3.3",A2:S101,5,FALSE)),ROUND(VLOOKUP("5.1.1.3.3",A2:S101,5,FALSE),4),0)</f>
        <v>0</v>
      </c>
      <c r="F48" s="9">
        <f>IF(ISNUMBER(VLOOKUP("5.1.1.3.1",A2:S101,6,FALSE)),ROUND(VLOOKUP("5.1.1.3.1",A2:S101,6,FALSE),4),0) + IF(ISNUMBER(VLOOKUP("5.1.1.3.2",A2:S101,6,FALSE)),ROUND(VLOOKUP("5.1.1.3.2",A2:S101,6,FALSE),4),0) + IF(ISNUMBER(VLOOKUP("5.1.1.3.3",A2:S101,6,FALSE)),ROUND(VLOOKUP("5.1.1.3.3",A2:S101,6,FALSE),4),0)</f>
        <v>0</v>
      </c>
      <c r="G48" s="9">
        <f>IF(ISNUMBER(VLOOKUP("5.1.1.3.1",A2:S101,7,FALSE)),ROUND(VLOOKUP("5.1.1.3.1",A2:S101,7,FALSE),4),0) + IF(ISNUMBER(VLOOKUP("5.1.1.3.2",A2:S101,7,FALSE)),ROUND(VLOOKUP("5.1.1.3.2",A2:S101,7,FALSE),4),0) + IF(ISNUMBER(VLOOKUP("5.1.1.3.3",A2:S101,7,FALSE)),ROUND(VLOOKUP("5.1.1.3.3",A2:S101,7,FALSE),4),0)</f>
        <v>0</v>
      </c>
      <c r="H48" s="9">
        <f>IF(ISNUMBER(VLOOKUP("5.1.1.3.1",A2:S101,8,FALSE)),ROUND(VLOOKUP("5.1.1.3.1",A2:S101,8,FALSE),4),0) + IF(ISNUMBER(VLOOKUP("5.1.1.3.2",A2:S101,8,FALSE)),ROUND(VLOOKUP("5.1.1.3.2",A2:S101,8,FALSE),4),0) + IF(ISNUMBER(VLOOKUP("5.1.1.3.3",A2:S101,8,FALSE)),ROUND(VLOOKUP("5.1.1.3.3",A2:S101,8,FALSE),4),0)</f>
        <v>0</v>
      </c>
      <c r="I48" s="9">
        <f>IF(ISNUMBER(VLOOKUP("5.1.1.3.1",A2:S101,9,FALSE)),ROUND(VLOOKUP("5.1.1.3.1",A2:S101,9,FALSE),4),0) + IF(ISNUMBER(VLOOKUP("5.1.1.3.2",A2:S101,9,FALSE)),ROUND(VLOOKUP("5.1.1.3.2",A2:S101,9,FALSE),4),0) + IF(ISNUMBER(VLOOKUP("5.1.1.3.3",A2:S101,9,FALSE)),ROUND(VLOOKUP("5.1.1.3.3",A2:S101,9,FALSE),4),0)</f>
        <v>0</v>
      </c>
      <c r="J48" s="9">
        <f>IF(ISNUMBER(VLOOKUP("5.1.1.3.1",A2:S101,10,FALSE)),ROUND(VLOOKUP("5.1.1.3.1",A2:S101,10,FALSE),4),0) + IF(ISNUMBER(VLOOKUP("5.1.1.3.2",A2:S101,10,FALSE)),ROUND(VLOOKUP("5.1.1.3.2",A2:S101,10,FALSE),4),0) + IF(ISNUMBER(VLOOKUP("5.1.1.3.3",A2:S101,10,FALSE)),ROUND(VLOOKUP("5.1.1.3.3",A2:S101,10,FALSE),4),0)</f>
        <v>0</v>
      </c>
      <c r="K48" s="9">
        <f>IF(ISNUMBER(VLOOKUP("5.1.1.3.1",A2:S101,11,FALSE)),ROUND(VLOOKUP("5.1.1.3.1",A2:S101,11,FALSE),4),0) + IF(ISNUMBER(VLOOKUP("5.1.1.3.2",A2:S101,11,FALSE)),ROUND(VLOOKUP("5.1.1.3.2",A2:S101,11,FALSE),4),0) + IF(ISNUMBER(VLOOKUP("5.1.1.3.3",A2:S101,11,FALSE)),ROUND(VLOOKUP("5.1.1.3.3",A2:S101,11,FALSE),4),0)</f>
        <v>0</v>
      </c>
      <c r="L48" s="9">
        <f>IF(ISNUMBER(VLOOKUP("5.1.1.3.1",A2:S101,12,FALSE)),ROUND(VLOOKUP("5.1.1.3.1",A2:S101,12,FALSE),4),0) + IF(ISNUMBER(VLOOKUP("5.1.1.3.2",A2:S101,12,FALSE)),ROUND(VLOOKUP("5.1.1.3.2",A2:S101,12,FALSE),4),0) + IF(ISNUMBER(VLOOKUP("5.1.1.3.3",A2:S101,12,FALSE)),ROUND(VLOOKUP("5.1.1.3.3",A2:S101,12,FALSE),4),0)</f>
        <v>0</v>
      </c>
      <c r="M48" s="9">
        <f>IF(ISNUMBER(VLOOKUP("5.1.1.3.1",A2:S101,13,FALSE)),ROUND(VLOOKUP("5.1.1.3.1",A2:S101,13,FALSE),4),0) + IF(ISNUMBER(VLOOKUP("5.1.1.3.2",A2:S101,13,FALSE)),ROUND(VLOOKUP("5.1.1.3.2",A2:S101,13,FALSE),4),0) + IF(ISNUMBER(VLOOKUP("5.1.1.3.3",A2:S101,13,FALSE)),ROUND(VLOOKUP("5.1.1.3.3",A2:S101,13,FALSE),4),0)</f>
        <v>0</v>
      </c>
      <c r="N48" s="9">
        <f>IF(ISNUMBER(VLOOKUP("5.1.1.3.1",A2:S101,14,FALSE)),ROUND(VLOOKUP("5.1.1.3.1",A2:S101,14,FALSE),4),0) + IF(ISNUMBER(VLOOKUP("5.1.1.3.2",A2:S101,14,FALSE)),ROUND(VLOOKUP("5.1.1.3.2",A2:S101,14,FALSE),4),0) + IF(ISNUMBER(VLOOKUP("5.1.1.3.3",A2:S101,14,FALSE)),ROUND(VLOOKUP("5.1.1.3.3",A2:S101,14,FALSE),4),0)</f>
        <v>0</v>
      </c>
      <c r="O48" s="9">
        <f>IF(ISNUMBER(VLOOKUP("5.1.1.3.1",A2:S101,15,FALSE)),ROUND(VLOOKUP("5.1.1.3.1",A2:S101,15,FALSE),4),0) + IF(ISNUMBER(VLOOKUP("5.1.1.3.2",A2:S101,15,FALSE)),ROUND(VLOOKUP("5.1.1.3.2",A2:S101,15,FALSE),4),0) + IF(ISNUMBER(VLOOKUP("5.1.1.3.3",A2:S101,15,FALSE)),ROUND(VLOOKUP("5.1.1.3.3",A2:S101,15,FALSE),4),0)</f>
        <v>0</v>
      </c>
      <c r="P48" s="9">
        <f>IF(ISNUMBER(VLOOKUP("5.1.1.3.1",A2:S101,16,FALSE)),ROUND(VLOOKUP("5.1.1.3.1",A2:S101,16,FALSE),4),0) + IF(ISNUMBER(VLOOKUP("5.1.1.3.2",A2:S101,16,FALSE)),ROUND(VLOOKUP("5.1.1.3.2",A2:S101,16,FALSE),4),0) + IF(ISNUMBER(VLOOKUP("5.1.1.3.3",A2:S101,16,FALSE)),ROUND(VLOOKUP("5.1.1.3.3",A2:S101,16,FALSE),4),0)</f>
        <v>0</v>
      </c>
      <c r="Q48" s="9">
        <f>IF(ISNUMBER(VLOOKUP("5.1.1.3.1",A2:S101,17,FALSE)),ROUND(VLOOKUP("5.1.1.3.1",A2:S101,17,FALSE),4),0) + IF(ISNUMBER(VLOOKUP("5.1.1.3.2",A2:S101,17,FALSE)),ROUND(VLOOKUP("5.1.1.3.2",A2:S101,17,FALSE),4),0) + IF(ISNUMBER(VLOOKUP("5.1.1.3.3",A2:S101,17,FALSE)),ROUND(VLOOKUP("5.1.1.3.3",A2:S101,17,FALSE),4),0)</f>
        <v>0</v>
      </c>
      <c r="R48" s="9">
        <f>IF(ISNUMBER(VLOOKUP("5.1.1.3.1",A2:S101,18,FALSE)),ROUND(VLOOKUP("5.1.1.3.1",A2:S101,18,FALSE),4),0) + IF(ISNUMBER(VLOOKUP("5.1.1.3.2",A2:S101,18,FALSE)),ROUND(VLOOKUP("5.1.1.3.2",A2:S101,18,FALSE),4),0) + IF(ISNUMBER(VLOOKUP("5.1.1.3.3",A2:S101,18,FALSE)),ROUND(VLOOKUP("5.1.1.3.3",A2:S101,18,FALSE),4),0)</f>
        <v>0</v>
      </c>
      <c r="S48" s="9">
        <f>IF(ISNUMBER(VLOOKUP("5.1.1.3.1",A2:S101,19,FALSE)),ROUND(VLOOKUP("5.1.1.3.1",A2:S101,19,FALSE),4),0) + IF(ISNUMBER(VLOOKUP("5.1.1.3.2",A2:S101,19,FALSE)),ROUND(VLOOKUP("5.1.1.3.2",A2:S101,19,FALSE),4),0) + IF(ISNUMBER(VLOOKUP("5.1.1.3.3",A2:S101,19,FALSE)),ROUND(VLOOKUP("5.1.1.3.3",A2:S101,19,FALSE),4),0)</f>
        <v>0</v>
      </c>
    </row>
    <row r="49" spans="1:19" ht="14.25" customHeight="1" x14ac:dyDescent="0.25">
      <c r="A49" s="5" t="s">
        <v>106</v>
      </c>
      <c r="B49" s="6" t="s">
        <v>107</v>
      </c>
      <c r="C49" s="9" t="s">
        <v>108</v>
      </c>
      <c r="D49" s="9" t="s">
        <v>108</v>
      </c>
      <c r="E49" s="9" t="s">
        <v>108</v>
      </c>
      <c r="F49" s="9" t="s">
        <v>108</v>
      </c>
      <c r="G49" s="9">
        <v>0</v>
      </c>
      <c r="H49" s="9" t="s">
        <v>108</v>
      </c>
      <c r="I49" s="9" t="s">
        <v>108</v>
      </c>
      <c r="J49" s="9" t="s">
        <v>108</v>
      </c>
      <c r="K49" s="9" t="s">
        <v>108</v>
      </c>
      <c r="L49" s="9" t="s">
        <v>108</v>
      </c>
      <c r="M49" s="9" t="s">
        <v>108</v>
      </c>
      <c r="N49" s="9" t="s">
        <v>108</v>
      </c>
      <c r="O49" s="9" t="s">
        <v>108</v>
      </c>
      <c r="P49" s="9" t="s">
        <v>108</v>
      </c>
      <c r="Q49" s="9" t="s">
        <v>108</v>
      </c>
      <c r="R49" s="9" t="s">
        <v>108</v>
      </c>
      <c r="S49" s="9" t="s">
        <v>108</v>
      </c>
    </row>
    <row r="50" spans="1:19" ht="27" customHeight="1" x14ac:dyDescent="0.25">
      <c r="A50" s="5" t="s">
        <v>109</v>
      </c>
      <c r="B50" s="6" t="s">
        <v>110</v>
      </c>
      <c r="C50" s="9" t="s">
        <v>108</v>
      </c>
      <c r="D50" s="9" t="s">
        <v>108</v>
      </c>
      <c r="E50" s="9" t="s">
        <v>108</v>
      </c>
      <c r="F50" s="9" t="s">
        <v>108</v>
      </c>
      <c r="G50" s="9">
        <v>0</v>
      </c>
      <c r="H50" s="9" t="s">
        <v>108</v>
      </c>
      <c r="I50" s="9" t="s">
        <v>108</v>
      </c>
      <c r="J50" s="9" t="s">
        <v>108</v>
      </c>
      <c r="K50" s="9" t="s">
        <v>108</v>
      </c>
      <c r="L50" s="9" t="s">
        <v>108</v>
      </c>
      <c r="M50" s="9" t="s">
        <v>108</v>
      </c>
      <c r="N50" s="9" t="s">
        <v>108</v>
      </c>
      <c r="O50" s="9" t="s">
        <v>108</v>
      </c>
      <c r="P50" s="9" t="s">
        <v>108</v>
      </c>
      <c r="Q50" s="9" t="s">
        <v>108</v>
      </c>
      <c r="R50" s="9" t="s">
        <v>108</v>
      </c>
      <c r="S50" s="9" t="s">
        <v>108</v>
      </c>
    </row>
    <row r="51" spans="1:19" ht="14.25" customHeight="1" x14ac:dyDescent="0.25">
      <c r="A51" s="5" t="s">
        <v>111</v>
      </c>
      <c r="B51" s="6" t="s">
        <v>112</v>
      </c>
      <c r="C51" s="9" t="s">
        <v>108</v>
      </c>
      <c r="D51" s="9" t="s">
        <v>108</v>
      </c>
      <c r="E51" s="9" t="s">
        <v>108</v>
      </c>
      <c r="F51" s="9" t="s">
        <v>108</v>
      </c>
      <c r="G51" s="9">
        <v>0</v>
      </c>
      <c r="H51" s="9" t="s">
        <v>108</v>
      </c>
      <c r="I51" s="9" t="s">
        <v>108</v>
      </c>
      <c r="J51" s="9" t="s">
        <v>108</v>
      </c>
      <c r="K51" s="9" t="s">
        <v>108</v>
      </c>
      <c r="L51" s="9" t="s">
        <v>108</v>
      </c>
      <c r="M51" s="9" t="s">
        <v>108</v>
      </c>
      <c r="N51" s="9" t="s">
        <v>108</v>
      </c>
      <c r="O51" s="9" t="s">
        <v>108</v>
      </c>
      <c r="P51" s="9" t="s">
        <v>108</v>
      </c>
      <c r="Q51" s="9" t="s">
        <v>108</v>
      </c>
      <c r="R51" s="9" t="s">
        <v>108</v>
      </c>
      <c r="S51" s="9" t="s">
        <v>108</v>
      </c>
    </row>
    <row r="52" spans="1:19" ht="27" customHeight="1" x14ac:dyDescent="0.25">
      <c r="A52" s="5" t="s">
        <v>113</v>
      </c>
      <c r="B52" s="6" t="s">
        <v>114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</row>
    <row r="53" spans="1:19" ht="14.25" customHeight="1" x14ac:dyDescent="0.25">
      <c r="A53" s="2" t="s">
        <v>115</v>
      </c>
      <c r="B53" s="3" t="s">
        <v>116</v>
      </c>
      <c r="C53" s="10">
        <v>0</v>
      </c>
      <c r="D53" s="10">
        <v>0</v>
      </c>
      <c r="E53" s="10">
        <v>100000</v>
      </c>
      <c r="F53" s="10">
        <v>100000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</row>
    <row r="54" spans="1:19" ht="14.25" customHeight="1" x14ac:dyDescent="0.25">
      <c r="A54" s="2" t="s">
        <v>117</v>
      </c>
      <c r="B54" s="3" t="s">
        <v>118</v>
      </c>
      <c r="C54" s="4">
        <v>66726927.149999999</v>
      </c>
      <c r="D54" s="4">
        <v>64053487.149999999</v>
      </c>
      <c r="E54" s="4">
        <v>61480047.149999999</v>
      </c>
      <c r="F54" s="4">
        <v>61480047.149999999</v>
      </c>
      <c r="G54" s="4">
        <v>57906607.149999999</v>
      </c>
      <c r="H54" s="4">
        <v>59033167.149999999</v>
      </c>
      <c r="I54" s="4">
        <v>54620000</v>
      </c>
      <c r="J54" s="4">
        <v>50420000</v>
      </c>
      <c r="K54" s="4">
        <v>45920000</v>
      </c>
      <c r="L54" s="4">
        <v>41120000</v>
      </c>
      <c r="M54" s="4">
        <v>36120000</v>
      </c>
      <c r="N54" s="4">
        <v>30220000</v>
      </c>
      <c r="O54" s="4">
        <v>24120000</v>
      </c>
      <c r="P54" s="4">
        <v>18020000</v>
      </c>
      <c r="Q54" s="4">
        <v>11520000</v>
      </c>
      <c r="R54" s="4">
        <v>6200000</v>
      </c>
      <c r="S54" s="4">
        <v>0</v>
      </c>
    </row>
    <row r="55" spans="1:19" ht="27" customHeight="1" x14ac:dyDescent="0.25">
      <c r="A55" s="5" t="s">
        <v>119</v>
      </c>
      <c r="B55" s="6" t="s">
        <v>120</v>
      </c>
      <c r="C55" s="7">
        <v>0</v>
      </c>
      <c r="D55" s="7">
        <v>0</v>
      </c>
      <c r="E55" s="7">
        <v>0</v>
      </c>
      <c r="F55" s="7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</row>
    <row r="56" spans="1:19" ht="27" customHeight="1" x14ac:dyDescent="0.25">
      <c r="A56" s="2" t="s">
        <v>121</v>
      </c>
      <c r="B56" s="3" t="s">
        <v>122</v>
      </c>
      <c r="C56" s="20" t="s">
        <v>108</v>
      </c>
      <c r="D56" s="20" t="s">
        <v>108</v>
      </c>
      <c r="E56" s="20" t="s">
        <v>108</v>
      </c>
      <c r="F56" s="20" t="s">
        <v>108</v>
      </c>
      <c r="G56" s="20" t="s">
        <v>108</v>
      </c>
      <c r="H56" s="20" t="s">
        <v>108</v>
      </c>
      <c r="I56" s="20" t="s">
        <v>108</v>
      </c>
      <c r="J56" s="20" t="s">
        <v>108</v>
      </c>
      <c r="K56" s="20" t="s">
        <v>108</v>
      </c>
      <c r="L56" s="20" t="s">
        <v>108</v>
      </c>
      <c r="M56" s="20" t="s">
        <v>108</v>
      </c>
      <c r="N56" s="20" t="s">
        <v>108</v>
      </c>
      <c r="O56" s="20" t="s">
        <v>108</v>
      </c>
      <c r="P56" s="20" t="s">
        <v>108</v>
      </c>
      <c r="Q56" s="20" t="s">
        <v>108</v>
      </c>
      <c r="R56" s="20" t="s">
        <v>108</v>
      </c>
      <c r="S56" s="20" t="s">
        <v>108</v>
      </c>
    </row>
    <row r="57" spans="1:19" ht="27" customHeight="1" x14ac:dyDescent="0.25">
      <c r="A57" s="5" t="s">
        <v>123</v>
      </c>
      <c r="B57" s="6" t="s">
        <v>124</v>
      </c>
      <c r="C57" s="9">
        <f>IF(ISNUMBER(VLOOKUP("1.1",A2:S101,3,FALSE)),ROUND(VLOOKUP("1.1",A2:S101,3,FALSE),4),0) - IF(ISNUMBER(VLOOKUP("2.1",A2:S101,3,FALSE)),ROUND(VLOOKUP("2.1",A2:S101,3,FALSE),4),0)</f>
        <v>2989979.900000006</v>
      </c>
      <c r="D57" s="9">
        <f>IF(ISNUMBER(VLOOKUP("1.1",A2:S101,4,FALSE)),ROUND(VLOOKUP("1.1",A2:S101,4,FALSE),4),0) - IF(ISNUMBER(VLOOKUP("2.1",A2:S101,4,FALSE)),ROUND(VLOOKUP("2.1",A2:S101,4,FALSE),4),0)</f>
        <v>3942554.5400000066</v>
      </c>
      <c r="E57" s="9">
        <f>IF(ISNUMBER(VLOOKUP("1.1",A2:S101,5,FALSE)),ROUND(VLOOKUP("1.1",A2:S101,5,FALSE),4),0) - IF(ISNUMBER(VLOOKUP("2.1",A2:S101,5,FALSE)),ROUND(VLOOKUP("2.1",A2:S101,5,FALSE),4),0)</f>
        <v>3017585.349999994</v>
      </c>
      <c r="F57" s="9">
        <f>IF(ISNUMBER(VLOOKUP("1.1",A2:S101,6,FALSE)),ROUND(VLOOKUP("1.1",A2:S101,6,FALSE),4),0) - IF(ISNUMBER(VLOOKUP("2.1",A2:S101,6,FALSE)),ROUND(VLOOKUP("2.1",A2:S101,6,FALSE),4),0)</f>
        <v>3057030.3500000089</v>
      </c>
      <c r="G57" s="9">
        <f>IF(ISNUMBER(VLOOKUP("1.1",A2:S101,7,FALSE)),ROUND(VLOOKUP("1.1",A2:S101,7,FALSE),4),0) - IF(ISNUMBER(VLOOKUP("2.1",A2:S101,7,FALSE)),ROUND(VLOOKUP("2.1",A2:S101,7,FALSE),4),0)</f>
        <v>2339257.8199999928</v>
      </c>
      <c r="H57" s="9">
        <f>IF(ISNUMBER(VLOOKUP("1.1",A2:S101,8,FALSE)),ROUND(VLOOKUP("1.1",A2:S101,8,FALSE),4),0) - IF(ISNUMBER(VLOOKUP("2.1",A2:S101,8,FALSE)),ROUND(VLOOKUP("2.1",A2:S101,8,FALSE),4),0)</f>
        <v>4212597</v>
      </c>
      <c r="I57" s="9">
        <f>IF(ISNUMBER(VLOOKUP("1.1",A2:S101,9,FALSE)),ROUND(VLOOKUP("1.1",A2:S101,9,FALSE),4),0) - IF(ISNUMBER(VLOOKUP("2.1",A2:S101,9,FALSE)),ROUND(VLOOKUP("2.1",A2:S101,9,FALSE),4),0)</f>
        <v>5564831</v>
      </c>
      <c r="J57" s="9">
        <f>IF(ISNUMBER(VLOOKUP("1.1",A2:S101,10,FALSE)),ROUND(VLOOKUP("1.1",A2:S101,10,FALSE),4),0) - IF(ISNUMBER(VLOOKUP("2.1",A2:S101,10,FALSE)),ROUND(VLOOKUP("2.1",A2:S101,10,FALSE),4),0)</f>
        <v>7088463</v>
      </c>
      <c r="K57" s="9">
        <f>IF(ISNUMBER(VLOOKUP("1.1",A2:S101,11,FALSE)),ROUND(VLOOKUP("1.1",A2:S101,11,FALSE),4),0) - IF(ISNUMBER(VLOOKUP("2.1",A2:S101,11,FALSE)),ROUND(VLOOKUP("2.1",A2:S101,11,FALSE),4),0)</f>
        <v>8723643</v>
      </c>
      <c r="L57" s="9">
        <f>IF(ISNUMBER(VLOOKUP("1.1",A2:S101,12,FALSE)),ROUND(VLOOKUP("1.1",A2:S101,12,FALSE),4),0) - IF(ISNUMBER(VLOOKUP("2.1",A2:S101,12,FALSE)),ROUND(VLOOKUP("2.1",A2:S101,12,FALSE),4),0)</f>
        <v>8990060</v>
      </c>
      <c r="M57" s="9">
        <f>IF(ISNUMBER(VLOOKUP("1.1",A2:S101,13,FALSE)),ROUND(VLOOKUP("1.1",A2:S101,13,FALSE),4),0) - IF(ISNUMBER(VLOOKUP("2.1",A2:S101,13,FALSE)),ROUND(VLOOKUP("2.1",A2:S101,13,FALSE),4),0)</f>
        <v>9263510</v>
      </c>
      <c r="N57" s="9">
        <f>IF(ISNUMBER(VLOOKUP("1.1",A2:S101,14,FALSE)),ROUND(VLOOKUP("1.1",A2:S101,14,FALSE),4),0) - IF(ISNUMBER(VLOOKUP("2.1",A2:S101,14,FALSE)),ROUND(VLOOKUP("2.1",A2:S101,14,FALSE),4),0)</f>
        <v>9554004</v>
      </c>
      <c r="O57" s="9">
        <f>IF(ISNUMBER(VLOOKUP("1.1",A2:S101,15,FALSE)),ROUND(VLOOKUP("1.1",A2:S101,15,FALSE),4),0) - IF(ISNUMBER(VLOOKUP("2.1",A2:S101,15,FALSE)),ROUND(VLOOKUP("2.1",A2:S101,15,FALSE),4),0)</f>
        <v>9861555</v>
      </c>
      <c r="P57" s="9">
        <f>IF(ISNUMBER(VLOOKUP("1.1",A2:S101,16,FALSE)),ROUND(VLOOKUP("1.1",A2:S101,16,FALSE),4),0) - IF(ISNUMBER(VLOOKUP("2.1",A2:S101,16,FALSE)),ROUND(VLOOKUP("2.1",A2:S101,16,FALSE),4),0)</f>
        <v>10174170</v>
      </c>
      <c r="Q57" s="9">
        <f>IF(ISNUMBER(VLOOKUP("1.1",A2:S101,17,FALSE)),ROUND(VLOOKUP("1.1",A2:S101,17,FALSE),4),0) - IF(ISNUMBER(VLOOKUP("2.1",A2:S101,17,FALSE)),ROUND(VLOOKUP("2.1",A2:S101,17,FALSE),4),0)</f>
        <v>10493863</v>
      </c>
      <c r="R57" s="9">
        <f>IF(ISNUMBER(VLOOKUP("1.1",A2:S101,18,FALSE)),ROUND(VLOOKUP("1.1",A2:S101,18,FALSE),4),0) - IF(ISNUMBER(VLOOKUP("2.1",A2:S101,18,FALSE)),ROUND(VLOOKUP("2.1",A2:S101,18,FALSE),4),0)</f>
        <v>10804641</v>
      </c>
      <c r="S57" s="9">
        <f>IF(ISNUMBER(VLOOKUP("1.1",A2:S101,19,FALSE)),ROUND(VLOOKUP("1.1",A2:S101,19,FALSE),4),0) - IF(ISNUMBER(VLOOKUP("2.1",A2:S101,19,FALSE)),ROUND(VLOOKUP("2.1",A2:S101,19,FALSE),4),0)</f>
        <v>11103516</v>
      </c>
    </row>
    <row r="58" spans="1:19" ht="27" customHeight="1" x14ac:dyDescent="0.25">
      <c r="A58" s="5" t="s">
        <v>125</v>
      </c>
      <c r="B58" s="6" t="s">
        <v>126</v>
      </c>
      <c r="C58" s="9">
        <f>IF(ISNUMBER(VLOOKUP("1.1",A2:S101,3,FALSE)),ROUND(VLOOKUP("1.1",A2:S101,3,FALSE),4),0) - IF(ISNUMBER(VLOOKUP("2.1",A2:S101,3,FALSE)),ROUND(VLOOKUP("2.1",A2:S101,3,FALSE),4),0) + IF(ISNUMBER(VLOOKUP("4.2",A2:S101,3,FALSE)),ROUND(VLOOKUP("4.2",A2:S101,3,FALSE),4),0) + IF(ISNUMBER(VLOOKUP("4.3",A2:S101,3,FALSE)),ROUND(VLOOKUP("4.3",A2:S101,3,FALSE),4),0)</f>
        <v>4257298.5100000063</v>
      </c>
      <c r="D58" s="9">
        <f>IF(ISNUMBER(VLOOKUP("1.1",A2:S101,4,FALSE)),ROUND(VLOOKUP("1.1",A2:S101,4,FALSE),4),0) - IF(ISNUMBER(VLOOKUP("2.1",A2:S101,4,FALSE)),ROUND(VLOOKUP("2.1",A2:S101,4,FALSE),4),0) + IF(ISNUMBER(VLOOKUP("4.2",A2:S101,4,FALSE)),ROUND(VLOOKUP("4.2",A2:S101,4,FALSE),4),0) + IF(ISNUMBER(VLOOKUP("4.3",A2:S101,4,FALSE)),ROUND(VLOOKUP("4.3",A2:S101,4,FALSE),4),0)</f>
        <v>6772000.9300000072</v>
      </c>
      <c r="E58" s="9">
        <f>IF(ISNUMBER(VLOOKUP("1.1",A2:S101,5,FALSE)),ROUND(VLOOKUP("1.1",A2:S101,5,FALSE),4),0) - IF(ISNUMBER(VLOOKUP("2.1",A2:S101,5,FALSE)),ROUND(VLOOKUP("2.1",A2:S101,5,FALSE),4),0) + IF(ISNUMBER(VLOOKUP("4.2",A2:S101,5,FALSE)),ROUND(VLOOKUP("4.2",A2:S101,5,FALSE),4),0) + IF(ISNUMBER(VLOOKUP("4.3",A2:S101,5,FALSE)),ROUND(VLOOKUP("4.3",A2:S101,5,FALSE),4),0)</f>
        <v>3049230.2599999942</v>
      </c>
      <c r="F58" s="9">
        <f>IF(ISNUMBER(VLOOKUP("1.1",A2:S101,6,FALSE)),ROUND(VLOOKUP("1.1",A2:S101,6,FALSE),4),0) - IF(ISNUMBER(VLOOKUP("2.1",A2:S101,6,FALSE)),ROUND(VLOOKUP("2.1",A2:S101,6,FALSE),4),0) + IF(ISNUMBER(VLOOKUP("4.2",A2:S101,6,FALSE)),ROUND(VLOOKUP("4.2",A2:S101,6,FALSE),4),0) + IF(ISNUMBER(VLOOKUP("4.3",A2:S101,6,FALSE)),ROUND(VLOOKUP("4.3",A2:S101,6,FALSE),4),0)</f>
        <v>3088675.2600000091</v>
      </c>
      <c r="G58" s="9">
        <f>IF(ISNUMBER(VLOOKUP("1.1",A2:S101,7,FALSE)),ROUND(VLOOKUP("1.1",A2:S101,7,FALSE),4),0) - IF(ISNUMBER(VLOOKUP("2.1",A2:S101,7,FALSE)),ROUND(VLOOKUP("2.1",A2:S101,7,FALSE),4),0) + IF(ISNUMBER(VLOOKUP("4.2",A2:S101,7,FALSE)),ROUND(VLOOKUP("4.2",A2:S101,7,FALSE),4),0) + IF(ISNUMBER(VLOOKUP("4.3",A2:S101,7,FALSE)),ROUND(VLOOKUP("4.3",A2:S101,7,FALSE),4),0)</f>
        <v>2339257.8199999928</v>
      </c>
      <c r="H58" s="9">
        <f>IF(ISNUMBER(VLOOKUP("1.1",A2:S101,8,FALSE)),ROUND(VLOOKUP("1.1",A2:S101,8,FALSE),4),0) - IF(ISNUMBER(VLOOKUP("2.1",A2:S101,8,FALSE)),ROUND(VLOOKUP("2.1",A2:S101,8,FALSE),4),0) + IF(ISNUMBER(VLOOKUP("4.2",A2:S101,8,FALSE)),ROUND(VLOOKUP("4.2",A2:S101,8,FALSE),4),0) + IF(ISNUMBER(VLOOKUP("4.4",A2:S101,8,FALSE)),ROUND(VLOOKUP("4.4",A2:S101,8,FALSE),4),0)</f>
        <v>4212597</v>
      </c>
      <c r="I58" s="9">
        <f>IF(ISNUMBER(VLOOKUP("1.1",A2:S101,9,FALSE)),ROUND(VLOOKUP("1.1",A2:S101,9,FALSE),4),0) - IF(ISNUMBER(VLOOKUP("2.1",A2:S101,9,FALSE)),ROUND(VLOOKUP("2.1",A2:S101,9,FALSE),4),0) + IF(ISNUMBER(VLOOKUP("4.2",A2:S101,9,FALSE)),ROUND(VLOOKUP("4.2",A2:S101,9,FALSE),4),0) + IF(ISNUMBER(VLOOKUP("4.4",A2:S101,9,FALSE)),ROUND(VLOOKUP("4.4",A2:S101,9,FALSE),4),0)</f>
        <v>5564831</v>
      </c>
      <c r="J58" s="9">
        <f>IF(ISNUMBER(VLOOKUP("1.1",A2:S101,10,FALSE)),ROUND(VLOOKUP("1.1",A2:S101,10,FALSE),4),0) - IF(ISNUMBER(VLOOKUP("2.1",A2:S101,10,FALSE)),ROUND(VLOOKUP("2.1",A2:S101,10,FALSE),4),0) + IF(ISNUMBER(VLOOKUP("4.2",A2:S101,10,FALSE)),ROUND(VLOOKUP("4.2",A2:S101,10,FALSE),4),0) + IF(ISNUMBER(VLOOKUP("4.4",A2:S101,10,FALSE)),ROUND(VLOOKUP("4.4",A2:S101,10,FALSE),4),0)</f>
        <v>7088463</v>
      </c>
      <c r="K58" s="9">
        <f>IF(ISNUMBER(VLOOKUP("1.1",A2:S101,11,FALSE)),ROUND(VLOOKUP("1.1",A2:S101,11,FALSE),4),0) - IF(ISNUMBER(VLOOKUP("2.1",A2:S101,11,FALSE)),ROUND(VLOOKUP("2.1",A2:S101,11,FALSE),4),0) + IF(ISNUMBER(VLOOKUP("4.2",A2:S101,11,FALSE)),ROUND(VLOOKUP("4.2",A2:S101,11,FALSE),4),0) + IF(ISNUMBER(VLOOKUP("4.4",A2:S101,11,FALSE)),ROUND(VLOOKUP("4.4",A2:S101,11,FALSE),4),0)</f>
        <v>8723643</v>
      </c>
      <c r="L58" s="9">
        <f>IF(ISNUMBER(VLOOKUP("1.1",A2:S101,12,FALSE)),ROUND(VLOOKUP("1.1",A2:S101,12,FALSE),4),0) - IF(ISNUMBER(VLOOKUP("2.1",A2:S101,12,FALSE)),ROUND(VLOOKUP("2.1",A2:S101,12,FALSE),4),0) + IF(ISNUMBER(VLOOKUP("4.2",A2:S101,12,FALSE)),ROUND(VLOOKUP("4.2",A2:S101,12,FALSE),4),0) + IF(ISNUMBER(VLOOKUP("4.4",A2:S101,12,FALSE)),ROUND(VLOOKUP("4.4",A2:S101,12,FALSE),4),0)</f>
        <v>8990060</v>
      </c>
      <c r="M58" s="9">
        <f>IF(ISNUMBER(VLOOKUP("1.1",A2:S101,13,FALSE)),ROUND(VLOOKUP("1.1",A2:S101,13,FALSE),4),0) - IF(ISNUMBER(VLOOKUP("2.1",A2:S101,13,FALSE)),ROUND(VLOOKUP("2.1",A2:S101,13,FALSE),4),0) + IF(ISNUMBER(VLOOKUP("4.2",A2:S101,13,FALSE)),ROUND(VLOOKUP("4.2",A2:S101,13,FALSE),4),0) + IF(ISNUMBER(VLOOKUP("4.4",A2:S101,13,FALSE)),ROUND(VLOOKUP("4.4",A2:S101,13,FALSE),4),0)</f>
        <v>9263510</v>
      </c>
      <c r="N58" s="9">
        <f>IF(ISNUMBER(VLOOKUP("1.1",A2:S101,14,FALSE)),ROUND(VLOOKUP("1.1",A2:S101,14,FALSE),4),0) - IF(ISNUMBER(VLOOKUP("2.1",A2:S101,14,FALSE)),ROUND(VLOOKUP("2.1",A2:S101,14,FALSE),4),0) + IF(ISNUMBER(VLOOKUP("4.2",A2:S101,14,FALSE)),ROUND(VLOOKUP("4.2",A2:S101,14,FALSE),4),0) + IF(ISNUMBER(VLOOKUP("4.4",A2:S101,14,FALSE)),ROUND(VLOOKUP("4.4",A2:S101,14,FALSE),4),0)</f>
        <v>9554004</v>
      </c>
      <c r="O58" s="9">
        <f>IF(ISNUMBER(VLOOKUP("1.1",A2:S101,15,FALSE)),ROUND(VLOOKUP("1.1",A2:S101,15,FALSE),4),0) - IF(ISNUMBER(VLOOKUP("2.1",A2:S101,15,FALSE)),ROUND(VLOOKUP("2.1",A2:S101,15,FALSE),4),0) + IF(ISNUMBER(VLOOKUP("4.2",A2:S101,15,FALSE)),ROUND(VLOOKUP("4.2",A2:S101,15,FALSE),4),0) + IF(ISNUMBER(VLOOKUP("4.4",A2:S101,15,FALSE)),ROUND(VLOOKUP("4.4",A2:S101,15,FALSE),4),0)</f>
        <v>9861555</v>
      </c>
      <c r="P58" s="9">
        <f>IF(ISNUMBER(VLOOKUP("1.1",A2:S101,16,FALSE)),ROUND(VLOOKUP("1.1",A2:S101,16,FALSE),4),0) - IF(ISNUMBER(VLOOKUP("2.1",A2:S101,16,FALSE)),ROUND(VLOOKUP("2.1",A2:S101,16,FALSE),4),0) + IF(ISNUMBER(VLOOKUP("4.2",A2:S101,16,FALSE)),ROUND(VLOOKUP("4.2",A2:S101,16,FALSE),4),0) + IF(ISNUMBER(VLOOKUP("4.4",A2:S101,16,FALSE)),ROUND(VLOOKUP("4.4",A2:S101,16,FALSE),4),0)</f>
        <v>10174170</v>
      </c>
      <c r="Q58" s="9">
        <f>IF(ISNUMBER(VLOOKUP("1.1",A2:S101,17,FALSE)),ROUND(VLOOKUP("1.1",A2:S101,17,FALSE),4),0) - IF(ISNUMBER(VLOOKUP("2.1",A2:S101,17,FALSE)),ROUND(VLOOKUP("2.1",A2:S101,17,FALSE),4),0) + IF(ISNUMBER(VLOOKUP("4.2",A2:S101,17,FALSE)),ROUND(VLOOKUP("4.2",A2:S101,17,FALSE),4),0) + IF(ISNUMBER(VLOOKUP("4.4",A2:S101,17,FALSE)),ROUND(VLOOKUP("4.4",A2:S101,17,FALSE),4),0)</f>
        <v>10493863</v>
      </c>
      <c r="R58" s="9">
        <f>IF(ISNUMBER(VLOOKUP("1.1",A2:S101,18,FALSE)),ROUND(VLOOKUP("1.1",A2:S101,18,FALSE),4),0) - IF(ISNUMBER(VLOOKUP("2.1",A2:S101,18,FALSE)),ROUND(VLOOKUP("2.1",A2:S101,18,FALSE),4),0) + IF(ISNUMBER(VLOOKUP("4.2",A2:S101,18,FALSE)),ROUND(VLOOKUP("4.2",A2:S101,18,FALSE),4),0) + IF(ISNUMBER(VLOOKUP("4.4",A2:S101,18,FALSE)),ROUND(VLOOKUP("4.4",A2:S101,18,FALSE),4),0)</f>
        <v>10804641</v>
      </c>
      <c r="S58" s="9">
        <f>IF(ISNUMBER(VLOOKUP("1.1",A2:S101,19,FALSE)),ROUND(VLOOKUP("1.1",A2:S101,19,FALSE),4),0) - IF(ISNUMBER(VLOOKUP("2.1",A2:S101,19,FALSE)),ROUND(VLOOKUP("2.1",A2:S101,19,FALSE),4),0) + IF(ISNUMBER(VLOOKUP("4.2",A2:S101,19,FALSE)),ROUND(VLOOKUP("4.2",A2:S101,19,FALSE),4),0) + IF(ISNUMBER(VLOOKUP("4.4",A2:S101,19,FALSE)),ROUND(VLOOKUP("4.4",A2:S101,19,FALSE),4),0)</f>
        <v>11103516</v>
      </c>
    </row>
    <row r="59" spans="1:19" ht="14.25" customHeight="1" x14ac:dyDescent="0.25">
      <c r="A59" s="2" t="s">
        <v>127</v>
      </c>
      <c r="B59" s="3" t="s">
        <v>128</v>
      </c>
      <c r="C59" s="20" t="s">
        <v>108</v>
      </c>
      <c r="D59" s="20" t="s">
        <v>108</v>
      </c>
      <c r="E59" s="20" t="s">
        <v>108</v>
      </c>
      <c r="F59" s="20" t="s">
        <v>108</v>
      </c>
      <c r="G59" s="20" t="s">
        <v>108</v>
      </c>
      <c r="H59" s="20" t="s">
        <v>108</v>
      </c>
      <c r="I59" s="20" t="s">
        <v>108</v>
      </c>
      <c r="J59" s="20" t="s">
        <v>108</v>
      </c>
      <c r="K59" s="20" t="s">
        <v>108</v>
      </c>
      <c r="L59" s="20" t="s">
        <v>108</v>
      </c>
      <c r="M59" s="20" t="s">
        <v>108</v>
      </c>
      <c r="N59" s="20" t="s">
        <v>108</v>
      </c>
      <c r="O59" s="20" t="s">
        <v>108</v>
      </c>
      <c r="P59" s="20" t="s">
        <v>108</v>
      </c>
      <c r="Q59" s="20" t="s">
        <v>108</v>
      </c>
      <c r="R59" s="20" t="s">
        <v>108</v>
      </c>
      <c r="S59" s="20" t="s">
        <v>108</v>
      </c>
    </row>
    <row r="60" spans="1:19" ht="65.650000000000006" customHeight="1" x14ac:dyDescent="0.25">
      <c r="A60" s="12" t="s">
        <v>129</v>
      </c>
      <c r="B60" s="13" t="s">
        <v>130</v>
      </c>
      <c r="C60" s="14">
        <f>(IF(ISNUMBER(VLOOKUP("5.1",A2:S101,3,FALSE)),ROUND(VLOOKUP("5.1",A2:S101,3,FALSE),4),0) - IF(ISNUMBER(VLOOKUP("5.1.1",A2:S101,3,FALSE)),ROUND(VLOOKUP("5.1.1",A2:S101,3,FALSE),4),0) + IF(ISNUMBER(VLOOKUP("10.7.2.1",A2:S101,3,FALSE)),ROUND(VLOOKUP("10.7.2.1",A2:S101,3,FALSE),4),0) - IF(ISNUMBER(VLOOKUP("10.9",A2:S101,3,FALSE)),ROUND(VLOOKUP("10.9",A2:S101,3,FALSE),4),0) + IF(ISNUMBER(VLOOKUP("2.1.2",A2:S101,3,FALSE)),ROUND(VLOOKUP("2.1.2",A2:S101,3,FALSE),4),0) - IF(ISNUMBER(VLOOKUP("2.1.2.1",A2:S101,3,FALSE)),ROUND(VLOOKUP("2.1.2.1",A2:S101,3,FALSE),4),0) + IF(ISNUMBER(VLOOKUP("2.1.3",A2:S101,3,FALSE)),ROUND(VLOOKUP("2.1.3",A2:S101,3,FALSE),4),0) - (IF(ISNUMBER(VLOOKUP("2.1.3.1",A2:S101,3,FALSE)),ROUND(VLOOKUP("2.1.3.1",A2:S101,3,FALSE),4),0) + IF(ISNUMBER(VLOOKUP("2.1.3.2",A2:S101,3,FALSE)),ROUND(VLOOKUP("2.1.3.2",A2:S101,3,FALSE),4),0) + IF(ISNUMBER(VLOOKUP("2.1.3.3",A2:S101,3,FALSE)),ROUND(VLOOKUP("2.1.3.3",A2:S101,3,FALSE),4),0)) - IF(ISNA(VLOOKUP("11.2",A2:S101,3,FALSE)),0,ROUND(VLOOKUP("11.2",A2:S101,3,FALSE),4)) + IF(ISNUMBER(VLOOKUP("10.4",A2:S101,3,FALSE)),ROUND(VLOOKUP("10.4",A2:S101,3,FALSE),4),0)) / (IF(ISNUMBER(VLOOKUP("1.1",A2:S101,3,FALSE)),ROUND(VLOOKUP("1.1",A2:S101,3,FALSE),4),0) - IF(ISNUMBER(VLOOKUP("1.1.4",A2:S101,3,FALSE)),ROUND(VLOOKUP("1.1.4",A2:S101,3,FALSE),4),0) - IF(ISNA(VLOOKUP("11.1.1",A2:S101,3,FALSE)),0,ROUND(VLOOKUP("11.1.1",A2:S101,3,FALSE),4)))</f>
        <v>7.5719615874438623E-2</v>
      </c>
      <c r="D60" s="14">
        <f>(IF(ISNUMBER(VLOOKUP("5.1",A2:S101,4,FALSE)),ROUND(VLOOKUP("5.1",A2:S101,4,FALSE),4),0) - IF(ISNUMBER(VLOOKUP("5.1.1",A2:S101,4,FALSE)),ROUND(VLOOKUP("5.1.1",A2:S101,4,FALSE),4),0) + IF(ISNUMBER(VLOOKUP("10.7.2.1",A2:S101,4,FALSE)),ROUND(VLOOKUP("10.7.2.1",A2:S101,4,FALSE),4),0) - IF(ISNUMBER(VLOOKUP("10.9",A2:S101,4,FALSE)),ROUND(VLOOKUP("10.9",A2:S101,4,FALSE),4),0) + IF(ISNUMBER(VLOOKUP("2.1.2",A2:S101,4,FALSE)),ROUND(VLOOKUP("2.1.2",A2:S101,4,FALSE),4),0) - IF(ISNUMBER(VLOOKUP("2.1.2.1",A2:S101,4,FALSE)),ROUND(VLOOKUP("2.1.2.1",A2:S101,4,FALSE),4),0) + IF(ISNUMBER(VLOOKUP("2.1.3",A2:S101,4,FALSE)),ROUND(VLOOKUP("2.1.3",A2:S101,4,FALSE),4),0) - (IF(ISNUMBER(VLOOKUP("2.1.3.1",A2:S101,4,FALSE)),ROUND(VLOOKUP("2.1.3.1",A2:S101,4,FALSE),4),0) + IF(ISNUMBER(VLOOKUP("2.1.3.2",A2:S101,4,FALSE)),ROUND(VLOOKUP("2.1.3.2",A2:S101,4,FALSE),4),0) + IF(ISNUMBER(VLOOKUP("2.1.3.3",A2:S101,4,FALSE)),ROUND(VLOOKUP("2.1.3.3",A2:S101,4,FALSE),4),0)) - IF(ISNA(VLOOKUP("11.2",A2:S101,4,FALSE)),0,ROUND(VLOOKUP("11.2",A2:S101,4,FALSE),4)) + IF(ISNUMBER(VLOOKUP("10.4",A2:S101,4,FALSE)),ROUND(VLOOKUP("10.4",A2:S101,4,FALSE),4),0)) / (IF(ISNUMBER(VLOOKUP("1.1",A2:S101,4,FALSE)),ROUND(VLOOKUP("1.1",A2:S101,4,FALSE),4),0) - IF(ISNUMBER(VLOOKUP("1.1.4",A2:S101,4,FALSE)),ROUND(VLOOKUP("1.1.4",A2:S101,4,FALSE),4),0) - IF(ISNA(VLOOKUP("11.1.1",A2:S101,4,FALSE)),0,ROUND(VLOOKUP("11.1.1",A2:S101,4,FALSE),4)))</f>
        <v>6.7144512547660018E-2</v>
      </c>
      <c r="E60" s="14">
        <f>(IF(ISNUMBER(VLOOKUP("5.1",A2:S101,5,FALSE)),ROUND(VLOOKUP("5.1",A2:S101,5,FALSE),4),0) - IF(ISNUMBER(VLOOKUP("5.1.1",A2:S101,5,FALSE)),ROUND(VLOOKUP("5.1.1",A2:S101,5,FALSE),4),0) + IF(ISNUMBER(VLOOKUP("10.7.2.1",A2:S101,5,FALSE)),ROUND(VLOOKUP("10.7.2.1",A2:S101,5,FALSE),4),0) - IF(ISNUMBER(VLOOKUP("10.9",A2:S101,5,FALSE)),ROUND(VLOOKUP("10.9",A2:S101,5,FALSE),4),0) + IF(ISNUMBER(VLOOKUP("2.1.2",A2:S101,5,FALSE)),ROUND(VLOOKUP("2.1.2",A2:S101,5,FALSE),4),0) - IF(ISNUMBER(VLOOKUP("2.1.2.1",A2:S101,5,FALSE)),ROUND(VLOOKUP("2.1.2.1",A2:S101,5,FALSE),4),0) + IF(ISNUMBER(VLOOKUP("2.1.3",A2:S101,5,FALSE)),ROUND(VLOOKUP("2.1.3",A2:S101,5,FALSE),4),0) - (IF(ISNUMBER(VLOOKUP("2.1.3.1",A2:S101,5,FALSE)),ROUND(VLOOKUP("2.1.3.1",A2:S101,5,FALSE),4),0) + IF(ISNUMBER(VLOOKUP("2.1.3.2",A2:S101,5,FALSE)),ROUND(VLOOKUP("2.1.3.2",A2:S101,5,FALSE),4),0) + IF(ISNUMBER(VLOOKUP("2.1.3.3",A2:S101,5,FALSE)),ROUND(VLOOKUP("2.1.3.3",A2:S101,5,FALSE),4),0)) - IF(ISNA(VLOOKUP("11.2",A2:S101,5,FALSE)),0,ROUND(VLOOKUP("11.2",A2:S101,5,FALSE),4)) + IF(ISNUMBER(VLOOKUP("10.4",A2:S101,5,FALSE)),ROUND(VLOOKUP("10.4",A2:S101,5,FALSE),4),0)) / (IF(ISNUMBER(VLOOKUP("1.1",A2:S101,5,FALSE)),ROUND(VLOOKUP("1.1",A2:S101,5,FALSE),4),0) - IF(ISNUMBER(VLOOKUP("1.1.4",A2:S101,5,FALSE)),ROUND(VLOOKUP("1.1.4",A2:S101,5,FALSE),4),0) - IF(ISNA(VLOOKUP("11.1.1",A2:S101,5,FALSE)),0,ROUND(VLOOKUP("11.1.1",A2:S101,5,FALSE),4)))</f>
        <v>5.8683263639692486E-2</v>
      </c>
      <c r="F60" s="14">
        <f>(IF(ISNUMBER(VLOOKUP("5.1",A2:S101,6,FALSE)),ROUND(VLOOKUP("5.1",A2:S101,6,FALSE),4),0) - IF(ISNUMBER(VLOOKUP("5.1.1",A2:S101,6,FALSE)),ROUND(VLOOKUP("5.1.1",A2:S101,6,FALSE),4),0) + IF(ISNUMBER(VLOOKUP("10.7.2.1",A2:S101,6,FALSE)),ROUND(VLOOKUP("10.7.2.1",A2:S101,6,FALSE),4),0) - IF(ISNUMBER(VLOOKUP("10.9",A2:S101,6,FALSE)),ROUND(VLOOKUP("10.9",A2:S101,6,FALSE),4),0) + IF(ISNUMBER(VLOOKUP("2.1.2",A2:S101,6,FALSE)),ROUND(VLOOKUP("2.1.2",A2:S101,6,FALSE),4),0) - IF(ISNUMBER(VLOOKUP("2.1.2.1",A2:S101,6,FALSE)),ROUND(VLOOKUP("2.1.2.1",A2:S101,6,FALSE),4),0) + IF(ISNUMBER(VLOOKUP("2.1.3",A2:S101,6,FALSE)),ROUND(VLOOKUP("2.1.3",A2:S101,6,FALSE),4),0) - (IF(ISNUMBER(VLOOKUP("2.1.3.1",A2:S101,6,FALSE)),ROUND(VLOOKUP("2.1.3.1",A2:S101,6,FALSE),4),0) + IF(ISNUMBER(VLOOKUP("2.1.3.2",A2:S101,6,FALSE)),ROUND(VLOOKUP("2.1.3.2",A2:S101,6,FALSE),4),0) + IF(ISNUMBER(VLOOKUP("2.1.3.3",A2:S101,6,FALSE)),ROUND(VLOOKUP("2.1.3.3",A2:S101,6,FALSE),4),0)) - IF(ISNA(VLOOKUP("11.2",A2:S101,6,FALSE)),0,ROUND(VLOOKUP("11.2",A2:S101,6,FALSE),4)) + IF(ISNUMBER(VLOOKUP("10.4",A2:S101,6,FALSE)),ROUND(VLOOKUP("10.4",A2:S101,6,FALSE),4),0)) / (IF(ISNUMBER(VLOOKUP("1.1",A2:S101,6,FALSE)),ROUND(VLOOKUP("1.1",A2:S101,6,FALSE),4),0) - IF(ISNUMBER(VLOOKUP("1.1.4",A2:S101,6,FALSE)),ROUND(VLOOKUP("1.1.4",A2:S101,6,FALSE),4),0) - IF(ISNA(VLOOKUP("11.1.1",A2:S101,6,FALSE)),0,ROUND(VLOOKUP("11.1.1",A2:S101,6,FALSE),4)))</f>
        <v>5.7113377077386167E-2</v>
      </c>
      <c r="G60" s="14">
        <f>(IF(ISNUMBER(VLOOKUP("5.1",A2:S101,7,FALSE)),ROUND(VLOOKUP("5.1",A2:S101,7,FALSE),4),0) - IF(ISNUMBER(VLOOKUP("5.1.1",A2:S101,7,FALSE)),ROUND(VLOOKUP("5.1.1",A2:S101,7,FALSE),4),0) + IF(ISNUMBER(VLOOKUP("10.7.2.1",A2:S101,7,FALSE)),ROUND(VLOOKUP("10.7.2.1",A2:S101,7,FALSE),4),0) - IF(ISNUMBER(VLOOKUP("10.9",A2:S101,7,FALSE)),ROUND(VLOOKUP("10.9",A2:S101,7,FALSE),4),0) + IF(ISNUMBER(VLOOKUP("2.1.2",A2:S101,7,FALSE)),ROUND(VLOOKUP("2.1.2",A2:S101,7,FALSE),4),0) - IF(ISNUMBER(VLOOKUP("2.1.2.1",A2:S101,7,FALSE)),ROUND(VLOOKUP("2.1.2.1",A2:S101,7,FALSE),4),0) + IF(ISNUMBER(VLOOKUP("2.1.3",A2:S101,7,FALSE)),ROUND(VLOOKUP("2.1.3",A2:S101,7,FALSE),4),0) - (IF(ISNUMBER(VLOOKUP("2.1.3.1",A2:S101,7,FALSE)),ROUND(VLOOKUP("2.1.3.1",A2:S101,7,FALSE),4),0) + IF(ISNUMBER(VLOOKUP("2.1.3.2",A2:S101,7,FALSE)),ROUND(VLOOKUP("2.1.3.2",A2:S101,7,FALSE),4),0) + IF(ISNUMBER(VLOOKUP("2.1.3.3",A2:S101,7,FALSE)),ROUND(VLOOKUP("2.1.3.3",A2:S101,7,FALSE),4),0)) - IF(ISNA(VLOOKUP("11.2",A2:S101,7,FALSE)),0,ROUND(VLOOKUP("11.2",A2:S101,7,FALSE),4)) + IF(ISNUMBER(VLOOKUP("10.4",A2:S101,7,FALSE)),ROUND(VLOOKUP("10.4",A2:S101,7,FALSE),4),0)) / (IF(ISNUMBER(VLOOKUP("1.1",A2:S101,7,FALSE)),ROUND(VLOOKUP("1.1",A2:S101,7,FALSE),4),0) - IF(ISNUMBER(VLOOKUP("1.1.4",A2:S101,7,FALSE)),ROUND(VLOOKUP("1.1.4",A2:S101,7,FALSE),4),0) - IF(ISNA(VLOOKUP("11.1.1",A2:S101,7,FALSE)),0,ROUND(VLOOKUP("11.1.1",A2:S101,7,FALSE),4)))</f>
        <v>6.441799286093576E-2</v>
      </c>
      <c r="H60" s="14">
        <f>(IF(ISNUMBER(VLOOKUP("5.1",A2:S101,8,FALSE)),ROUND(VLOOKUP("5.1",A2:S101,8,FALSE),4),0) - IF(ISNUMBER(VLOOKUP("5.1.1",A2:S101,8,FALSE)),ROUND(VLOOKUP("5.1.1",A2:S101,8,FALSE),4),0) + IF(ISNUMBER(VLOOKUP("10.7.2.1",A2:S101,8,FALSE)),ROUND(VLOOKUP("10.7.2.1",A2:S101,8,FALSE),4),0) - IF(ISNUMBER(VLOOKUP("10.9",A2:S101,8,FALSE)),ROUND(VLOOKUP("10.9",A2:S101,8,FALSE),4),0) + IF(ISNUMBER(VLOOKUP("2.1.2",A2:S101,8,FALSE)),ROUND(VLOOKUP("2.1.2",A2:S101,8,FALSE),4),0) - IF(ISNUMBER(VLOOKUP("2.1.2.1",A2:S101,8,FALSE)),ROUND(VLOOKUP("2.1.2.1",A2:S101,8,FALSE),4),0) + IF(ISNUMBER(VLOOKUP("2.1.3",A2:S101,8,FALSE)),ROUND(VLOOKUP("2.1.3",A2:S101,8,FALSE),4),0) - (IF(ISNUMBER(VLOOKUP("2.1.3.1",A2:S101,8,FALSE)),ROUND(VLOOKUP("2.1.3.1",A2:S101,8,FALSE),4),0) + IF(ISNUMBER(VLOOKUP("2.1.3.2",A2:S101,8,FALSE)),ROUND(VLOOKUP("2.1.3.2",A2:S101,8,FALSE),4),0) + IF(ISNUMBER(VLOOKUP("2.1.3.3",A2:S101,8,FALSE)),ROUND(VLOOKUP("2.1.3.3",A2:S101,8,FALSE),4),0)) - IF(ISNA(VLOOKUP("11.2",A2:S101,8,FALSE)),0,ROUND(VLOOKUP("11.2",A2:S101,8,FALSE),4)) + IF(ISNUMBER(VLOOKUP("10.4",A2:S101,8,FALSE)),ROUND(VLOOKUP("10.4",A2:S101,8,FALSE),4),0)) / (IF(ISNUMBER(VLOOKUP("1.1",A2:S101,8,FALSE)),ROUND(VLOOKUP("1.1",A2:S101,8,FALSE),4),0) - IF(ISNUMBER(VLOOKUP("1.1.4",A2:S101,8,FALSE)),ROUND(VLOOKUP("1.1.4",A2:S101,8,FALSE),4),0) - IF(ISNA(VLOOKUP("11.1.1",A2:S101,8,FALSE)),0,ROUND(VLOOKUP("11.1.1",A2:S101,8,FALSE),4)))</f>
        <v>6.6171644550355582E-2</v>
      </c>
      <c r="I60" s="14">
        <f>(IF(ISNUMBER(VLOOKUP("5.1",A2:S101,9,FALSE)),ROUND(VLOOKUP("5.1",A2:S101,9,FALSE),4),0) - IF(ISNUMBER(VLOOKUP("5.1.1",A2:S101,9,FALSE)),ROUND(VLOOKUP("5.1.1",A2:S101,9,FALSE),4),0) + IF(ISNUMBER(VLOOKUP("10.7.2.1",A2:S101,9,FALSE)),ROUND(VLOOKUP("10.7.2.1",A2:S101,9,FALSE),4),0) - IF(ISNUMBER(VLOOKUP("10.9",A2:S101,9,FALSE)),ROUND(VLOOKUP("10.9",A2:S101,9,FALSE),4),0) + IF(ISNUMBER(VLOOKUP("2.1.2",A2:S101,9,FALSE)),ROUND(VLOOKUP("2.1.2",A2:S101,9,FALSE),4),0) - IF(ISNUMBER(VLOOKUP("2.1.2.1",A2:S101,9,FALSE)),ROUND(VLOOKUP("2.1.2.1",A2:S101,9,FALSE),4),0) + IF(ISNUMBER(VLOOKUP("2.1.3",A2:S101,9,FALSE)),ROUND(VLOOKUP("2.1.3",A2:S101,9,FALSE),4),0) - (IF(ISNUMBER(VLOOKUP("2.1.3.1",A2:S101,9,FALSE)),ROUND(VLOOKUP("2.1.3.1",A2:S101,9,FALSE),4),0) + IF(ISNUMBER(VLOOKUP("2.1.3.2",A2:S101,9,FALSE)),ROUND(VLOOKUP("2.1.3.2",A2:S101,9,FALSE),4),0) + IF(ISNUMBER(VLOOKUP("2.1.3.3",A2:S101,9,FALSE)),ROUND(VLOOKUP("2.1.3.3",A2:S101,9,FALSE),4),0)) - IF(ISNA(VLOOKUP("11.2",A2:S101,9,FALSE)),0,ROUND(VLOOKUP("11.2",A2:S101,9,FALSE),4)) + IF(ISNUMBER(VLOOKUP("10.4",A2:S101,9,FALSE)),ROUND(VLOOKUP("10.4",A2:S101,9,FALSE),4),0)) / (IF(ISNUMBER(VLOOKUP("1.1",A2:S101,9,FALSE)),ROUND(VLOOKUP("1.1",A2:S101,9,FALSE),4),0) - IF(ISNUMBER(VLOOKUP("1.1.4",A2:S101,9,FALSE)),ROUND(VLOOKUP("1.1.4",A2:S101,9,FALSE),4),0) - IF(ISNA(VLOOKUP("11.1.1",A2:S101,9,FALSE)),0,ROUND(VLOOKUP("11.1.1",A2:S101,9,FALSE),4)))</f>
        <v>7.9904408208601105E-2</v>
      </c>
      <c r="J60" s="14">
        <f>(IF(ISNUMBER(VLOOKUP("5.1",A2:S101,10,FALSE)),ROUND(VLOOKUP("5.1",A2:S101,10,FALSE),4),0) - IF(ISNUMBER(VLOOKUP("5.1.1",A2:S101,10,FALSE)),ROUND(VLOOKUP("5.1.1",A2:S101,10,FALSE),4),0) + IF(ISNUMBER(VLOOKUP("10.7.2.1",A2:S101,10,FALSE)),ROUND(VLOOKUP("10.7.2.1",A2:S101,10,FALSE),4),0) - IF(ISNUMBER(VLOOKUP("10.9",A2:S101,10,FALSE)),ROUND(VLOOKUP("10.9",A2:S101,10,FALSE),4),0) + IF(ISNUMBER(VLOOKUP("2.1.2",A2:S101,10,FALSE)),ROUND(VLOOKUP("2.1.2",A2:S101,10,FALSE),4),0) - IF(ISNUMBER(VLOOKUP("2.1.2.1",A2:S101,10,FALSE)),ROUND(VLOOKUP("2.1.2.1",A2:S101,10,FALSE),4),0) + IF(ISNUMBER(VLOOKUP("2.1.3",A2:S101,10,FALSE)),ROUND(VLOOKUP("2.1.3",A2:S101,10,FALSE),4),0) - (IF(ISNUMBER(VLOOKUP("2.1.3.1",A2:S101,10,FALSE)),ROUND(VLOOKUP("2.1.3.1",A2:S101,10,FALSE),4),0) + IF(ISNUMBER(VLOOKUP("2.1.3.2",A2:S101,10,FALSE)),ROUND(VLOOKUP("2.1.3.2",A2:S101,10,FALSE),4),0) + IF(ISNUMBER(VLOOKUP("2.1.3.3",A2:S101,10,FALSE)),ROUND(VLOOKUP("2.1.3.3",A2:S101,10,FALSE),4),0)) - IF(ISNA(VLOOKUP("11.2",A2:S101,10,FALSE)),0,ROUND(VLOOKUP("11.2",A2:S101,10,FALSE),4)) + IF(ISNUMBER(VLOOKUP("10.4",A2:S101,10,FALSE)),ROUND(VLOOKUP("10.4",A2:S101,10,FALSE),4),0)) / (IF(ISNUMBER(VLOOKUP("1.1",A2:S101,10,FALSE)),ROUND(VLOOKUP("1.1",A2:S101,10,FALSE),4),0) - IF(ISNUMBER(VLOOKUP("1.1.4",A2:S101,10,FALSE)),ROUND(VLOOKUP("1.1.4",A2:S101,10,FALSE),4),0) - IF(ISNA(VLOOKUP("11.1.1",A2:S101,10,FALSE)),0,ROUND(VLOOKUP("11.1.1",A2:S101,10,FALSE),4)))</f>
        <v>7.3283982013959359E-2</v>
      </c>
      <c r="K60" s="14">
        <f>(IF(ISNUMBER(VLOOKUP("5.1",A2:S101,11,FALSE)),ROUND(VLOOKUP("5.1",A2:S101,11,FALSE),4),0) - IF(ISNUMBER(VLOOKUP("5.1.1",A2:S101,11,FALSE)),ROUND(VLOOKUP("5.1.1",A2:S101,11,FALSE),4),0) + IF(ISNUMBER(VLOOKUP("10.7.2.1",A2:S101,11,FALSE)),ROUND(VLOOKUP("10.7.2.1",A2:S101,11,FALSE),4),0) - IF(ISNUMBER(VLOOKUP("10.9",A2:S101,11,FALSE)),ROUND(VLOOKUP("10.9",A2:S101,11,FALSE),4),0) + IF(ISNUMBER(VLOOKUP("2.1.2",A2:S101,11,FALSE)),ROUND(VLOOKUP("2.1.2",A2:S101,11,FALSE),4),0) - IF(ISNUMBER(VLOOKUP("2.1.2.1",A2:S101,11,FALSE)),ROUND(VLOOKUP("2.1.2.1",A2:S101,11,FALSE),4),0) + IF(ISNUMBER(VLOOKUP("2.1.3",A2:S101,11,FALSE)),ROUND(VLOOKUP("2.1.3",A2:S101,11,FALSE),4),0) - (IF(ISNUMBER(VLOOKUP("2.1.3.1",A2:S101,11,FALSE)),ROUND(VLOOKUP("2.1.3.1",A2:S101,11,FALSE),4),0) + IF(ISNUMBER(VLOOKUP("2.1.3.2",A2:S101,11,FALSE)),ROUND(VLOOKUP("2.1.3.2",A2:S101,11,FALSE),4),0) + IF(ISNUMBER(VLOOKUP("2.1.3.3",A2:S101,11,FALSE)),ROUND(VLOOKUP("2.1.3.3",A2:S101,11,FALSE),4),0)) - IF(ISNA(VLOOKUP("11.2",A2:S101,11,FALSE)),0,ROUND(VLOOKUP("11.2",A2:S101,11,FALSE),4)) + IF(ISNUMBER(VLOOKUP("10.4",A2:S101,11,FALSE)),ROUND(VLOOKUP("10.4",A2:S101,11,FALSE),4),0)) / (IF(ISNUMBER(VLOOKUP("1.1",A2:S101,11,FALSE)),ROUND(VLOOKUP("1.1",A2:S101,11,FALSE),4),0) - IF(ISNUMBER(VLOOKUP("1.1.4",A2:S101,11,FALSE)),ROUND(VLOOKUP("1.1.4",A2:S101,11,FALSE),4),0) - IF(ISNA(VLOOKUP("11.1.1",A2:S101,11,FALSE)),0,ROUND(VLOOKUP("11.1.1",A2:S101,11,FALSE),4)))</f>
        <v>7.3488320960356693E-2</v>
      </c>
      <c r="L60" s="14">
        <f>(IF(ISNUMBER(VLOOKUP("5.1",A2:S101,12,FALSE)),ROUND(VLOOKUP("5.1",A2:S101,12,FALSE),4),0) - IF(ISNUMBER(VLOOKUP("5.1.1",A2:S101,12,FALSE)),ROUND(VLOOKUP("5.1.1",A2:S101,12,FALSE),4),0) + IF(ISNUMBER(VLOOKUP("10.7.2.1",A2:S101,12,FALSE)),ROUND(VLOOKUP("10.7.2.1",A2:S101,12,FALSE),4),0) - IF(ISNUMBER(VLOOKUP("10.9",A2:S101,12,FALSE)),ROUND(VLOOKUP("10.9",A2:S101,12,FALSE),4),0) + IF(ISNUMBER(VLOOKUP("2.1.2",A2:S101,12,FALSE)),ROUND(VLOOKUP("2.1.2",A2:S101,12,FALSE),4),0) - IF(ISNUMBER(VLOOKUP("2.1.2.1",A2:S101,12,FALSE)),ROUND(VLOOKUP("2.1.2.1",A2:S101,12,FALSE),4),0) + IF(ISNUMBER(VLOOKUP("2.1.3",A2:S101,12,FALSE)),ROUND(VLOOKUP("2.1.3",A2:S101,12,FALSE),4),0) - (IF(ISNUMBER(VLOOKUP("2.1.3.1",A2:S101,12,FALSE)),ROUND(VLOOKUP("2.1.3.1",A2:S101,12,FALSE),4),0) + IF(ISNUMBER(VLOOKUP("2.1.3.2",A2:S101,12,FALSE)),ROUND(VLOOKUP("2.1.3.2",A2:S101,12,FALSE),4),0) + IF(ISNUMBER(VLOOKUP("2.1.3.3",A2:S101,12,FALSE)),ROUND(VLOOKUP("2.1.3.3",A2:S101,12,FALSE),4),0)) - IF(ISNA(VLOOKUP("11.2",A2:S101,12,FALSE)),0,ROUND(VLOOKUP("11.2",A2:S101,12,FALSE),4)) + IF(ISNUMBER(VLOOKUP("10.4",A2:S101,12,FALSE)),ROUND(VLOOKUP("10.4",A2:S101,12,FALSE),4),0)) / (IF(ISNUMBER(VLOOKUP("1.1",A2:S101,12,FALSE)),ROUND(VLOOKUP("1.1",A2:S101,12,FALSE),4),0) - IF(ISNUMBER(VLOOKUP("1.1.4",A2:S101,12,FALSE)),ROUND(VLOOKUP("1.1.4",A2:S101,12,FALSE),4),0) - IF(ISNA(VLOOKUP("11.1.1",A2:S101,12,FALSE)),0,ROUND(VLOOKUP("11.1.1",A2:S101,12,FALSE),4)))</f>
        <v>7.5648325948021178E-2</v>
      </c>
      <c r="M60" s="14">
        <f>(IF(ISNUMBER(VLOOKUP("5.1",A2:S101,13,FALSE)),ROUND(VLOOKUP("5.1",A2:S101,13,FALSE),4),0) - IF(ISNUMBER(VLOOKUP("5.1.1",A2:S101,13,FALSE)),ROUND(VLOOKUP("5.1.1",A2:S101,13,FALSE),4),0) + IF(ISNUMBER(VLOOKUP("10.7.2.1",A2:S101,13,FALSE)),ROUND(VLOOKUP("10.7.2.1",A2:S101,13,FALSE),4),0) - IF(ISNUMBER(VLOOKUP("10.9",A2:S101,13,FALSE)),ROUND(VLOOKUP("10.9",A2:S101,13,FALSE),4),0) + IF(ISNUMBER(VLOOKUP("2.1.2",A2:S101,13,FALSE)),ROUND(VLOOKUP("2.1.2",A2:S101,13,FALSE),4),0) - IF(ISNUMBER(VLOOKUP("2.1.2.1",A2:S101,13,FALSE)),ROUND(VLOOKUP("2.1.2.1",A2:S101,13,FALSE),4),0) + IF(ISNUMBER(VLOOKUP("2.1.3",A2:S101,13,FALSE)),ROUND(VLOOKUP("2.1.3",A2:S101,13,FALSE),4),0) - (IF(ISNUMBER(VLOOKUP("2.1.3.1",A2:S101,13,FALSE)),ROUND(VLOOKUP("2.1.3.1",A2:S101,13,FALSE),4),0) + IF(ISNUMBER(VLOOKUP("2.1.3.2",A2:S101,13,FALSE)),ROUND(VLOOKUP("2.1.3.2",A2:S101,13,FALSE),4),0) + IF(ISNUMBER(VLOOKUP("2.1.3.3",A2:S101,13,FALSE)),ROUND(VLOOKUP("2.1.3.3",A2:S101,13,FALSE),4),0)) - IF(ISNA(VLOOKUP("11.2",A2:S101,13,FALSE)),0,ROUND(VLOOKUP("11.2",A2:S101,13,FALSE),4)) + IF(ISNUMBER(VLOOKUP("10.4",A2:S101,13,FALSE)),ROUND(VLOOKUP("10.4",A2:S101,13,FALSE),4),0)) / (IF(ISNUMBER(VLOOKUP("1.1",A2:S101,13,FALSE)),ROUND(VLOOKUP("1.1",A2:S101,13,FALSE),4),0) - IF(ISNUMBER(VLOOKUP("1.1.4",A2:S101,13,FALSE)),ROUND(VLOOKUP("1.1.4",A2:S101,13,FALSE),4),0) - IF(ISNA(VLOOKUP("11.1.1",A2:S101,13,FALSE)),0,ROUND(VLOOKUP("11.1.1",A2:S101,13,FALSE),4)))</f>
        <v>7.6882821645024968E-2</v>
      </c>
      <c r="N60" s="14">
        <f>(IF(ISNUMBER(VLOOKUP("5.1",A2:S101,14,FALSE)),ROUND(VLOOKUP("5.1",A2:S101,14,FALSE),4),0) - IF(ISNUMBER(VLOOKUP("5.1.1",A2:S101,14,FALSE)),ROUND(VLOOKUP("5.1.1",A2:S101,14,FALSE),4),0) + IF(ISNUMBER(VLOOKUP("10.7.2.1",A2:S101,14,FALSE)),ROUND(VLOOKUP("10.7.2.1",A2:S101,14,FALSE),4),0) - IF(ISNUMBER(VLOOKUP("10.9",A2:S101,14,FALSE)),ROUND(VLOOKUP("10.9",A2:S101,14,FALSE),4),0) + IF(ISNUMBER(VLOOKUP("2.1.2",A2:S101,14,FALSE)),ROUND(VLOOKUP("2.1.2",A2:S101,14,FALSE),4),0) - IF(ISNUMBER(VLOOKUP("2.1.2.1",A2:S101,14,FALSE)),ROUND(VLOOKUP("2.1.2.1",A2:S101,14,FALSE),4),0) + IF(ISNUMBER(VLOOKUP("2.1.3",A2:S101,14,FALSE)),ROUND(VLOOKUP("2.1.3",A2:S101,14,FALSE),4),0) - (IF(ISNUMBER(VLOOKUP("2.1.3.1",A2:S101,14,FALSE)),ROUND(VLOOKUP("2.1.3.1",A2:S101,14,FALSE),4),0) + IF(ISNUMBER(VLOOKUP("2.1.3.2",A2:S101,14,FALSE)),ROUND(VLOOKUP("2.1.3.2",A2:S101,14,FALSE),4),0) + IF(ISNUMBER(VLOOKUP("2.1.3.3",A2:S101,14,FALSE)),ROUND(VLOOKUP("2.1.3.3",A2:S101,14,FALSE),4),0)) - IF(ISNA(VLOOKUP("11.2",A2:S101,14,FALSE)),0,ROUND(VLOOKUP("11.2",A2:S101,14,FALSE),4)) + IF(ISNUMBER(VLOOKUP("10.4",A2:S101,14,FALSE)),ROUND(VLOOKUP("10.4",A2:S101,14,FALSE),4),0)) / (IF(ISNUMBER(VLOOKUP("1.1",A2:S101,14,FALSE)),ROUND(VLOOKUP("1.1",A2:S101,14,FALSE),4),0) - IF(ISNUMBER(VLOOKUP("1.1.4",A2:S101,14,FALSE)),ROUND(VLOOKUP("1.1.4",A2:S101,14,FALSE),4),0) - IF(ISNA(VLOOKUP("11.1.1",A2:S101,14,FALSE)),0,ROUND(VLOOKUP("11.1.1",A2:S101,14,FALSE),4)))</f>
        <v>8.6093383922653033E-2</v>
      </c>
      <c r="O60" s="14">
        <f>(IF(ISNUMBER(VLOOKUP("5.1",A2:S101,15,FALSE)),ROUND(VLOOKUP("5.1",A2:S101,15,FALSE),4),0) - IF(ISNUMBER(VLOOKUP("5.1.1",A2:S101,15,FALSE)),ROUND(VLOOKUP("5.1.1",A2:S101,15,FALSE),4),0) + IF(ISNUMBER(VLOOKUP("10.7.2.1",A2:S101,15,FALSE)),ROUND(VLOOKUP("10.7.2.1",A2:S101,15,FALSE),4),0) - IF(ISNUMBER(VLOOKUP("10.9",A2:S101,15,FALSE)),ROUND(VLOOKUP("10.9",A2:S101,15,FALSE),4),0) + IF(ISNUMBER(VLOOKUP("2.1.2",A2:S101,15,FALSE)),ROUND(VLOOKUP("2.1.2",A2:S101,15,FALSE),4),0) - IF(ISNUMBER(VLOOKUP("2.1.2.1",A2:S101,15,FALSE)),ROUND(VLOOKUP("2.1.2.1",A2:S101,15,FALSE),4),0) + IF(ISNUMBER(VLOOKUP("2.1.3",A2:S101,15,FALSE)),ROUND(VLOOKUP("2.1.3",A2:S101,15,FALSE),4),0) - (IF(ISNUMBER(VLOOKUP("2.1.3.1",A2:S101,15,FALSE)),ROUND(VLOOKUP("2.1.3.1",A2:S101,15,FALSE),4),0) + IF(ISNUMBER(VLOOKUP("2.1.3.2",A2:S101,15,FALSE)),ROUND(VLOOKUP("2.1.3.2",A2:S101,15,FALSE),4),0) + IF(ISNUMBER(VLOOKUP("2.1.3.3",A2:S101,15,FALSE)),ROUND(VLOOKUP("2.1.3.3",A2:S101,15,FALSE),4),0)) - IF(ISNA(VLOOKUP("11.2",A2:S101,15,FALSE)),0,ROUND(VLOOKUP("11.2",A2:S101,15,FALSE),4)) + IF(ISNUMBER(VLOOKUP("10.4",A2:S101,15,FALSE)),ROUND(VLOOKUP("10.4",A2:S101,15,FALSE),4),0)) / (IF(ISNUMBER(VLOOKUP("1.1",A2:S101,15,FALSE)),ROUND(VLOOKUP("1.1",A2:S101,15,FALSE),4),0) - IF(ISNUMBER(VLOOKUP("1.1.4",A2:S101,15,FALSE)),ROUND(VLOOKUP("1.1.4",A2:S101,15,FALSE),4),0) - IF(ISNA(VLOOKUP("11.1.1",A2:S101,15,FALSE)),0,ROUND(VLOOKUP("11.1.1",A2:S101,15,FALSE),4)))</f>
        <v>8.5229195858651324E-2</v>
      </c>
      <c r="P60" s="14">
        <f>(IF(ISNUMBER(VLOOKUP("5.1",A2:S101,16,FALSE)),ROUND(VLOOKUP("5.1",A2:S101,16,FALSE),4),0) - IF(ISNUMBER(VLOOKUP("5.1.1",A2:S101,16,FALSE)),ROUND(VLOOKUP("5.1.1",A2:S101,16,FALSE),4),0) + IF(ISNUMBER(VLOOKUP("10.7.2.1",A2:S101,16,FALSE)),ROUND(VLOOKUP("10.7.2.1",A2:S101,16,FALSE),4),0) - IF(ISNUMBER(VLOOKUP("10.9",A2:S101,16,FALSE)),ROUND(VLOOKUP("10.9",A2:S101,16,FALSE),4),0) + IF(ISNUMBER(VLOOKUP("2.1.2",A2:S101,16,FALSE)),ROUND(VLOOKUP("2.1.2",A2:S101,16,FALSE),4),0) - IF(ISNUMBER(VLOOKUP("2.1.2.1",A2:S101,16,FALSE)),ROUND(VLOOKUP("2.1.2.1",A2:S101,16,FALSE),4),0) + IF(ISNUMBER(VLOOKUP("2.1.3",A2:S101,16,FALSE)),ROUND(VLOOKUP("2.1.3",A2:S101,16,FALSE),4),0) - (IF(ISNUMBER(VLOOKUP("2.1.3.1",A2:S101,16,FALSE)),ROUND(VLOOKUP("2.1.3.1",A2:S101,16,FALSE),4),0) + IF(ISNUMBER(VLOOKUP("2.1.3.2",A2:S101,16,FALSE)),ROUND(VLOOKUP("2.1.3.2",A2:S101,16,FALSE),4),0) + IF(ISNUMBER(VLOOKUP("2.1.3.3",A2:S101,16,FALSE)),ROUND(VLOOKUP("2.1.3.3",A2:S101,16,FALSE),4),0)) - IF(ISNA(VLOOKUP("11.2",A2:S101,16,FALSE)),0,ROUND(VLOOKUP("11.2",A2:S101,16,FALSE),4)) + IF(ISNUMBER(VLOOKUP("10.4",A2:S101,16,FALSE)),ROUND(VLOOKUP("10.4",A2:S101,16,FALSE),4),0)) / (IF(ISNUMBER(VLOOKUP("1.1",A2:S101,16,FALSE)),ROUND(VLOOKUP("1.1",A2:S101,16,FALSE),4),0) - IF(ISNUMBER(VLOOKUP("1.1.4",A2:S101,16,FALSE)),ROUND(VLOOKUP("1.1.4",A2:S101,16,FALSE),4),0) - IF(ISNA(VLOOKUP("11.1.1",A2:S101,16,FALSE)),0,ROUND(VLOOKUP("11.1.1",A2:S101,16,FALSE),4)))</f>
        <v>7.6063253352922314E-2</v>
      </c>
      <c r="Q60" s="14">
        <f>(IF(ISNUMBER(VLOOKUP("5.1",A2:S101,17,FALSE)),ROUND(VLOOKUP("5.1",A2:S101,17,FALSE),4),0) - IF(ISNUMBER(VLOOKUP("5.1.1",A2:S101,17,FALSE)),ROUND(VLOOKUP("5.1.1",A2:S101,17,FALSE),4),0) + IF(ISNUMBER(VLOOKUP("10.7.2.1",A2:S101,17,FALSE)),ROUND(VLOOKUP("10.7.2.1",A2:S101,17,FALSE),4),0) - IF(ISNUMBER(VLOOKUP("10.9",A2:S101,17,FALSE)),ROUND(VLOOKUP("10.9",A2:S101,17,FALSE),4),0) + IF(ISNUMBER(VLOOKUP("2.1.2",A2:S101,17,FALSE)),ROUND(VLOOKUP("2.1.2",A2:S101,17,FALSE),4),0) - IF(ISNUMBER(VLOOKUP("2.1.2.1",A2:S101,17,FALSE)),ROUND(VLOOKUP("2.1.2.1",A2:S101,17,FALSE),4),0) + IF(ISNUMBER(VLOOKUP("2.1.3",A2:S101,17,FALSE)),ROUND(VLOOKUP("2.1.3",A2:S101,17,FALSE),4),0) - (IF(ISNUMBER(VLOOKUP("2.1.3.1",A2:S101,17,FALSE)),ROUND(VLOOKUP("2.1.3.1",A2:S101,17,FALSE),4),0) + IF(ISNUMBER(VLOOKUP("2.1.3.2",A2:S101,17,FALSE)),ROUND(VLOOKUP("2.1.3.2",A2:S101,17,FALSE),4),0) + IF(ISNUMBER(VLOOKUP("2.1.3.3",A2:S101,17,FALSE)),ROUND(VLOOKUP("2.1.3.3",A2:S101,17,FALSE),4),0)) - IF(ISNA(VLOOKUP("11.2",A2:S101,17,FALSE)),0,ROUND(VLOOKUP("11.2",A2:S101,17,FALSE),4)) + IF(ISNUMBER(VLOOKUP("10.4",A2:S101,17,FALSE)),ROUND(VLOOKUP("10.4",A2:S101,17,FALSE),4),0)) / (IF(ISNUMBER(VLOOKUP("1.1",A2:S101,17,FALSE)),ROUND(VLOOKUP("1.1",A2:S101,17,FALSE),4),0) - IF(ISNUMBER(VLOOKUP("1.1.4",A2:S101,17,FALSE)),ROUND(VLOOKUP("1.1.4",A2:S101,17,FALSE),4),0) - IF(ISNA(VLOOKUP("11.1.1",A2:S101,17,FALSE)),0,ROUND(VLOOKUP("11.1.1",A2:S101,17,FALSE),4)))</f>
        <v>8.5808765088540712E-2</v>
      </c>
      <c r="R60" s="14">
        <f>(IF(ISNUMBER(VLOOKUP("5.1",A2:S101,18,FALSE)),ROUND(VLOOKUP("5.1",A2:S101,18,FALSE),4),0) - IF(ISNUMBER(VLOOKUP("5.1.1",A2:S101,18,FALSE)),ROUND(VLOOKUP("5.1.1",A2:S101,18,FALSE),4),0) + IF(ISNUMBER(VLOOKUP("10.7.2.1",A2:S101,18,FALSE)),ROUND(VLOOKUP("10.7.2.1",A2:S101,18,FALSE),4),0) - IF(ISNUMBER(VLOOKUP("10.9",A2:S101,18,FALSE)),ROUND(VLOOKUP("10.9",A2:S101,18,FALSE),4),0) + IF(ISNUMBER(VLOOKUP("2.1.2",A2:S101,18,FALSE)),ROUND(VLOOKUP("2.1.2",A2:S101,18,FALSE),4),0) - IF(ISNUMBER(VLOOKUP("2.1.2.1",A2:S101,18,FALSE)),ROUND(VLOOKUP("2.1.2.1",A2:S101,18,FALSE),4),0) + IF(ISNUMBER(VLOOKUP("2.1.3",A2:S101,18,FALSE)),ROUND(VLOOKUP("2.1.3",A2:S101,18,FALSE),4),0) - (IF(ISNUMBER(VLOOKUP("2.1.3.1",A2:S101,18,FALSE)),ROUND(VLOOKUP("2.1.3.1",A2:S101,18,FALSE),4),0) + IF(ISNUMBER(VLOOKUP("2.1.3.2",A2:S101,18,FALSE)),ROUND(VLOOKUP("2.1.3.2",A2:S101,18,FALSE),4),0) + IF(ISNUMBER(VLOOKUP("2.1.3.3",A2:S101,18,FALSE)),ROUND(VLOOKUP("2.1.3.3",A2:S101,18,FALSE),4),0)) - IF(ISNA(VLOOKUP("11.2",A2:S101,18,FALSE)),0,ROUND(VLOOKUP("11.2",A2:S101,18,FALSE),4)) + IF(ISNUMBER(VLOOKUP("10.4",A2:S101,18,FALSE)),ROUND(VLOOKUP("10.4",A2:S101,18,FALSE),4),0)) / (IF(ISNUMBER(VLOOKUP("1.1",A2:S101,18,FALSE)),ROUND(VLOOKUP("1.1",A2:S101,18,FALSE),4),0) - IF(ISNUMBER(VLOOKUP("1.1.4",A2:S101,18,FALSE)),ROUND(VLOOKUP("1.1.4",A2:S101,18,FALSE),4),0) - IF(ISNA(VLOOKUP("11.1.1",A2:S101,18,FALSE)),0,ROUND(VLOOKUP("11.1.1",A2:S101,18,FALSE),4)))</f>
        <v>5.8002792122663495E-2</v>
      </c>
      <c r="S60" s="14">
        <f>(IF(ISNUMBER(VLOOKUP("5.1",A2:S101,19,FALSE)),ROUND(VLOOKUP("5.1",A2:S101,19,FALSE),4),0) - IF(ISNUMBER(VLOOKUP("5.1.1",A2:S101,19,FALSE)),ROUND(VLOOKUP("5.1.1",A2:S101,19,FALSE),4),0) + IF(ISNUMBER(VLOOKUP("10.7.2.1",A2:S101,19,FALSE)),ROUND(VLOOKUP("10.7.2.1",A2:S101,19,FALSE),4),0) - IF(ISNUMBER(VLOOKUP("10.9",A2:S101,19,FALSE)),ROUND(VLOOKUP("10.9",A2:S101,19,FALSE),4),0) + IF(ISNUMBER(VLOOKUP("2.1.2",A2:S101,19,FALSE)),ROUND(VLOOKUP("2.1.2",A2:S101,19,FALSE),4),0) - IF(ISNUMBER(VLOOKUP("2.1.2.1",A2:S101,19,FALSE)),ROUND(VLOOKUP("2.1.2.1",A2:S101,19,FALSE),4),0) + IF(ISNUMBER(VLOOKUP("2.1.3",A2:S101,19,FALSE)),ROUND(VLOOKUP("2.1.3",A2:S101,19,FALSE),4),0) - (IF(ISNUMBER(VLOOKUP("2.1.3.1",A2:S101,19,FALSE)),ROUND(VLOOKUP("2.1.3.1",A2:S101,19,FALSE),4),0) + IF(ISNUMBER(VLOOKUP("2.1.3.2",A2:S101,19,FALSE)),ROUND(VLOOKUP("2.1.3.2",A2:S101,19,FALSE),4),0) + IF(ISNUMBER(VLOOKUP("2.1.3.3",A2:S101,19,FALSE)),ROUND(VLOOKUP("2.1.3.3",A2:S101,19,FALSE),4),0)) - IF(ISNA(VLOOKUP("11.2",A2:S101,19,FALSE)),0,ROUND(VLOOKUP("11.2",A2:S101,19,FALSE),4)) + IF(ISNUMBER(VLOOKUP("10.4",A2:S101,19,FALSE)),ROUND(VLOOKUP("10.4",A2:S101,19,FALSE),4),0)) / (IF(ISNUMBER(VLOOKUP("1.1",A2:S101,19,FALSE)),ROUND(VLOOKUP("1.1",A2:S101,19,FALSE),4),0) - IF(ISNUMBER(VLOOKUP("1.1.4",A2:S101,19,FALSE)),ROUND(VLOOKUP("1.1.4",A2:S101,19,FALSE),4),0) - IF(ISNA(VLOOKUP("11.1.1",A2:S101,19,FALSE)),0,ROUND(VLOOKUP("11.1.1",A2:S101,19,FALSE),4)))</f>
        <v>7.7433583848294504E-2</v>
      </c>
    </row>
    <row r="61" spans="1:19" ht="39.950000000000003" customHeight="1" x14ac:dyDescent="0.25">
      <c r="A61" s="12" t="s">
        <v>131</v>
      </c>
      <c r="B61" s="13" t="s">
        <v>132</v>
      </c>
      <c r="C61" s="14">
        <f>((IF(ISNUMBER(VLOOKUP("1.1",A2:S101,3,FALSE)),ROUND(VLOOKUP("1.1",A2:S101,3,FALSE),4),0) - IF(ISNUMBER(VLOOKUP("9.1.1",A2:S101,3,FALSE)),ROUND(VLOOKUP("9.1.1",A2:S101,3,FALSE),4),0) - IF(ISNA(VLOOKUP("11.1.1",A2:S101,3,FALSE)),0,ROUND(VLOOKUP("11.1.1",A2:S101,3,FALSE),4))) - (IF(ISNUMBER(VLOOKUP("2.1",A2:S101,3,FALSE)),ROUND(VLOOKUP("2.1",A2:S101,3,FALSE),4),0) - IF(ISNUMBER(VLOOKUP("9.3.1",A2:S101,3,FALSE)),ROUND(VLOOKUP("9.3.1",A2:S101,3,FALSE),4),0) - IF(ISNUMBER(VLOOKUP("10.7.2.1.1",A2:S101,3,FALSE)),ROUND(VLOOKUP("10.7.2.1.1",A2:S101,3,FALSE),4),0) - IF(ISNUMBER(VLOOKUP("2.1.3",A2:S101,3,FALSE)),ROUND(VLOOKUP("2.1.3",A2:S101,3,FALSE),4),0) - IF(ISNUMBER(VLOOKUP("10.11",A2:S101,3,FALSE)),ROUND(VLOOKUP("10.11",A2:S101,3,FALSE),4),0))) / (IF(ISNUMBER(VLOOKUP("1.1",A2:S101,3,FALSE)),ROUND(VLOOKUP("1.1",A2:S101,3,FALSE),4),0) - IF(ISNUMBER(VLOOKUP("1.1.4",A2:S101,3,FALSE)),ROUND(VLOOKUP("1.1.4",A2:S101,3,FALSE),4),0) - IF(ISNA(VLOOKUP("11.1.1",A2:S101,3,FALSE)),0,ROUND(VLOOKUP("11.1.1",A2:S101,3,FALSE),4)))</f>
        <v>9.0346709380040302E-2</v>
      </c>
      <c r="D61" s="14">
        <f>((IF(ISNUMBER(VLOOKUP("1.1",A2:S101,4,FALSE)),ROUND(VLOOKUP("1.1",A2:S101,4,FALSE),4),0) - IF(ISNUMBER(VLOOKUP("9.1.1",A2:S101,4,FALSE)),ROUND(VLOOKUP("9.1.1",A2:S101,4,FALSE),4),0) - IF(ISNA(VLOOKUP("11.1.1",A2:S101,4,FALSE)),0,ROUND(VLOOKUP("11.1.1",A2:S101,4,FALSE),4))) - (IF(ISNUMBER(VLOOKUP("2.1",A2:S101,4,FALSE)),ROUND(VLOOKUP("2.1",A2:S101,4,FALSE),4),0) - IF(ISNUMBER(VLOOKUP("9.3.1",A2:S101,4,FALSE)),ROUND(VLOOKUP("9.3.1",A2:S101,4,FALSE),4),0) - IF(ISNUMBER(VLOOKUP("10.7.2.1.1",A2:S101,4,FALSE)),ROUND(VLOOKUP("10.7.2.1.1",A2:S101,4,FALSE),4),0) - IF(ISNUMBER(VLOOKUP("2.1.3",A2:S101,4,FALSE)),ROUND(VLOOKUP("2.1.3",A2:S101,4,FALSE),4),0) - IF(ISNUMBER(VLOOKUP("10.11",A2:S101,4,FALSE)),ROUND(VLOOKUP("10.11",A2:S101,4,FALSE),4),0))) / (IF(ISNUMBER(VLOOKUP("1.1",A2:S101,4,FALSE)),ROUND(VLOOKUP("1.1",A2:S101,4,FALSE),4),0) - IF(ISNUMBER(VLOOKUP("1.1.4",A2:S101,4,FALSE)),ROUND(VLOOKUP("1.1.4",A2:S101,4,FALSE),4),0) - IF(ISNA(VLOOKUP("11.1.1",A2:S101,4,FALSE)),0,ROUND(VLOOKUP("11.1.1",A2:S101,4,FALSE),4)))</f>
        <v>9.9151287389128012E-2</v>
      </c>
      <c r="E61" s="14">
        <f>((IF(ISNUMBER(VLOOKUP("1.1",A2:S101,5,FALSE)),ROUND(VLOOKUP("1.1",A2:S101,5,FALSE),4),0) - IF(ISNUMBER(VLOOKUP("9.1.1",A2:S101,5,FALSE)),ROUND(VLOOKUP("9.1.1",A2:S101,5,FALSE),4),0) - IF(ISNA(VLOOKUP("11.1.1",A2:S101,5,FALSE)),0,ROUND(VLOOKUP("11.1.1",A2:S101,5,FALSE),4))) - (IF(ISNUMBER(VLOOKUP("2.1",A2:S101,5,FALSE)),ROUND(VLOOKUP("2.1",A2:S101,5,FALSE),4),0) - IF(ISNUMBER(VLOOKUP("9.3.1",A2:S101,5,FALSE)),ROUND(VLOOKUP("9.3.1",A2:S101,5,FALSE),4),0) - IF(ISNUMBER(VLOOKUP("10.7.2.1.1",A2:S101,5,FALSE)),ROUND(VLOOKUP("10.7.2.1.1",A2:S101,5,FALSE),4),0) - IF(ISNUMBER(VLOOKUP("2.1.3",A2:S101,5,FALSE)),ROUND(VLOOKUP("2.1.3",A2:S101,5,FALSE),4),0) - IF(ISNUMBER(VLOOKUP("10.11",A2:S101,5,FALSE)),ROUND(VLOOKUP("10.11",A2:S101,5,FALSE),4),0))) / (IF(ISNUMBER(VLOOKUP("1.1",A2:S101,5,FALSE)),ROUND(VLOOKUP("1.1",A2:S101,5,FALSE),4),0) - IF(ISNUMBER(VLOOKUP("1.1.4",A2:S101,5,FALSE)),ROUND(VLOOKUP("1.1.4",A2:S101,5,FALSE),4),0) - IF(ISNA(VLOOKUP("11.1.1",A2:S101,5,FALSE)),0,ROUND(VLOOKUP("11.1.1",A2:S101,5,FALSE),4)))</f>
        <v>8.2014439227264591E-2</v>
      </c>
      <c r="F61" s="14">
        <f>((IF(ISNUMBER(VLOOKUP("1.1",A2:S101,6,FALSE)),ROUND(VLOOKUP("1.1",A2:S101,6,FALSE),4),0) - IF(ISNUMBER(VLOOKUP("9.1.1",A2:S101,6,FALSE)),ROUND(VLOOKUP("9.1.1",A2:S101,6,FALSE),4),0) - IF(ISNA(VLOOKUP("11.1.1",A2:S101,6,FALSE)),0,ROUND(VLOOKUP("11.1.1",A2:S101,6,FALSE),4))) - (IF(ISNUMBER(VLOOKUP("2.1",A2:S101,6,FALSE)),ROUND(VLOOKUP("2.1",A2:S101,6,FALSE),4),0) - IF(ISNUMBER(VLOOKUP("9.3.1",A2:S101,6,FALSE)),ROUND(VLOOKUP("9.3.1",A2:S101,6,FALSE),4),0) - IF(ISNUMBER(VLOOKUP("10.7.2.1.1",A2:S101,6,FALSE)),ROUND(VLOOKUP("10.7.2.1.1",A2:S101,6,FALSE),4),0) - IF(ISNUMBER(VLOOKUP("2.1.3",A2:S101,6,FALSE)),ROUND(VLOOKUP("2.1.3",A2:S101,6,FALSE),4),0) - IF(ISNUMBER(VLOOKUP("10.11",A2:S101,6,FALSE)),ROUND(VLOOKUP("10.11",A2:S101,6,FALSE),4),0))) / (IF(ISNUMBER(VLOOKUP("1.1",A2:S101,6,FALSE)),ROUND(VLOOKUP("1.1",A2:S101,6,FALSE),4),0) - IF(ISNUMBER(VLOOKUP("1.1.4",A2:S101,6,FALSE)),ROUND(VLOOKUP("1.1.4",A2:S101,6,FALSE),4),0) - IF(ISNA(VLOOKUP("11.1.1",A2:S101,6,FALSE)),0,ROUND(VLOOKUP("11.1.1",A2:S101,6,FALSE),4)))</f>
        <v>8.2633680981766544E-2</v>
      </c>
      <c r="G61" s="14">
        <f>((IF(ISNUMBER(VLOOKUP("1.1",A2:S101,7,FALSE)),ROUND(VLOOKUP("1.1",A2:S101,7,FALSE),4),0) - IF(ISNUMBER(VLOOKUP("9.1.1",A2:S101,7,FALSE)),ROUND(VLOOKUP("9.1.1",A2:S101,7,FALSE),4),0) - IF(ISNA(VLOOKUP("11.1.1",A2:S101,7,FALSE)),0,ROUND(VLOOKUP("11.1.1",A2:S101,7,FALSE),4))) - (IF(ISNUMBER(VLOOKUP("2.1",A2:S101,7,FALSE)),ROUND(VLOOKUP("2.1",A2:S101,7,FALSE),4),0) - IF(ISNUMBER(VLOOKUP("9.3.1",A2:S101,7,FALSE)),ROUND(VLOOKUP("9.3.1",A2:S101,7,FALSE),4),0) - IF(ISNUMBER(VLOOKUP("10.7.2.1.1",A2:S101,7,FALSE)),ROUND(VLOOKUP("10.7.2.1.1",A2:S101,7,FALSE),4),0) - IF(ISNUMBER(VLOOKUP("2.1.3",A2:S101,7,FALSE)),ROUND(VLOOKUP("2.1.3",A2:S101,7,FALSE),4),0) - IF(ISNUMBER(VLOOKUP("10.11",A2:S101,7,FALSE)),ROUND(VLOOKUP("10.11",A2:S101,7,FALSE),4),0))) / (IF(ISNUMBER(VLOOKUP("1.1",A2:S101,7,FALSE)),ROUND(VLOOKUP("1.1",A2:S101,7,FALSE),4),0) - IF(ISNUMBER(VLOOKUP("1.1.4",A2:S101,7,FALSE)),ROUND(VLOOKUP("1.1.4",A2:S101,7,FALSE),4),0) - IF(ISNA(VLOOKUP("11.1.1",A2:S101,7,FALSE)),0,ROUND(VLOOKUP("11.1.1",A2:S101,7,FALSE),4)))</f>
        <v>6.8934423316587612E-2</v>
      </c>
      <c r="H61" s="14">
        <f>((IF(ISNUMBER(VLOOKUP("1.1",A2:S101,8,FALSE)),ROUND(VLOOKUP("1.1",A2:S101,8,FALSE),4),0) - IF(ISNUMBER(VLOOKUP("9.1.1",A2:S101,8,FALSE)),ROUND(VLOOKUP("9.1.1",A2:S101,8,FALSE),4),0) - IF(ISNA(VLOOKUP("11.1.1",A2:S101,8,FALSE)),0,ROUND(VLOOKUP("11.1.1",A2:S101,8,FALSE),4))) - (IF(ISNUMBER(VLOOKUP("2.1",A2:S101,8,FALSE)),ROUND(VLOOKUP("2.1",A2:S101,8,FALSE),4),0) - IF(ISNUMBER(VLOOKUP("9.3.1",A2:S101,8,FALSE)),ROUND(VLOOKUP("9.3.1",A2:S101,8,FALSE),4),0) - IF(ISNUMBER(VLOOKUP("10.7.2.1.1",A2:S101,8,FALSE)),ROUND(VLOOKUP("10.7.2.1.1",A2:S101,8,FALSE),4),0) - IF(ISNUMBER(VLOOKUP("2.1.3",A2:S101,8,FALSE)),ROUND(VLOOKUP("2.1.3",A2:S101,8,FALSE),4),0) - IF(ISNUMBER(VLOOKUP("10.11",A2:S101,8,FALSE)),ROUND(VLOOKUP("10.11",A2:S101,8,FALSE),4),0))) / (IF(ISNUMBER(VLOOKUP("1.1",A2:S101,8,FALSE)),ROUND(VLOOKUP("1.1",A2:S101,8,FALSE),4),0) - IF(ISNUMBER(VLOOKUP("1.1.4",A2:S101,8,FALSE)),ROUND(VLOOKUP("1.1.4",A2:S101,8,FALSE),4),0) - IF(ISNA(VLOOKUP("11.1.1",A2:S101,8,FALSE)),0,ROUND(VLOOKUP("11.1.1",A2:S101,8,FALSE),4)))</f>
        <v>9.1577250487886272E-2</v>
      </c>
      <c r="I61" s="14">
        <f>((IF(ISNUMBER(VLOOKUP("1.1",A2:S101,9,FALSE)),ROUND(VLOOKUP("1.1",A2:S101,9,FALSE),4),0) - IF(ISNUMBER(VLOOKUP("9.1.1",A2:S101,9,FALSE)),ROUND(VLOOKUP("9.1.1",A2:S101,9,FALSE),4),0) - IF(ISNA(VLOOKUP("11.1.1",A2:S101,9,FALSE)),0,ROUND(VLOOKUP("11.1.1",A2:S101,9,FALSE),4))) - (IF(ISNUMBER(VLOOKUP("2.1",A2:S101,9,FALSE)),ROUND(VLOOKUP("2.1",A2:S101,9,FALSE),4),0) - IF(ISNUMBER(VLOOKUP("9.3.1",A2:S101,9,FALSE)),ROUND(VLOOKUP("9.3.1",A2:S101,9,FALSE),4),0) - IF(ISNUMBER(VLOOKUP("10.7.2.1.1",A2:S101,9,FALSE)),ROUND(VLOOKUP("10.7.2.1.1",A2:S101,9,FALSE),4),0) - IF(ISNUMBER(VLOOKUP("2.1.3",A2:S101,9,FALSE)),ROUND(VLOOKUP("2.1.3",A2:S101,9,FALSE),4),0) - IF(ISNUMBER(VLOOKUP("10.11",A2:S101,9,FALSE)),ROUND(VLOOKUP("10.11",A2:S101,9,FALSE),4),0))) / (IF(ISNUMBER(VLOOKUP("1.1",A2:S101,9,FALSE)),ROUND(VLOOKUP("1.1",A2:S101,9,FALSE),4),0) - IF(ISNUMBER(VLOOKUP("1.1.4",A2:S101,9,FALSE)),ROUND(VLOOKUP("1.1.4",A2:S101,9,FALSE),4),0) - IF(ISNA(VLOOKUP("11.1.1",A2:S101,9,FALSE)),0,ROUND(VLOOKUP("11.1.1",A2:S101,9,FALSE),4)))</f>
        <v>0.10636101246147221</v>
      </c>
      <c r="J61" s="14">
        <f>((IF(ISNUMBER(VLOOKUP("1.1",A2:S101,10,FALSE)),ROUND(VLOOKUP("1.1",A2:S101,10,FALSE),4),0) - IF(ISNUMBER(VLOOKUP("9.1.1",A2:S101,10,FALSE)),ROUND(VLOOKUP("9.1.1",A2:S101,10,FALSE),4),0) - IF(ISNA(VLOOKUP("11.1.1",A2:S101,10,FALSE)),0,ROUND(VLOOKUP("11.1.1",A2:S101,10,FALSE),4))) - (IF(ISNUMBER(VLOOKUP("2.1",A2:S101,10,FALSE)),ROUND(VLOOKUP("2.1",A2:S101,10,FALSE),4),0) - IF(ISNUMBER(VLOOKUP("9.3.1",A2:S101,10,FALSE)),ROUND(VLOOKUP("9.3.1",A2:S101,10,FALSE),4),0) - IF(ISNUMBER(VLOOKUP("10.7.2.1.1",A2:S101,10,FALSE)),ROUND(VLOOKUP("10.7.2.1.1",A2:S101,10,FALSE),4),0) - IF(ISNUMBER(VLOOKUP("2.1.3",A2:S101,10,FALSE)),ROUND(VLOOKUP("2.1.3",A2:S101,10,FALSE),4),0) - IF(ISNUMBER(VLOOKUP("10.11",A2:S101,10,FALSE)),ROUND(VLOOKUP("10.11",A2:S101,10,FALSE),4),0))) / (IF(ISNUMBER(VLOOKUP("1.1",A2:S101,10,FALSE)),ROUND(VLOOKUP("1.1",A2:S101,10,FALSE),4),0) - IF(ISNUMBER(VLOOKUP("1.1.4",A2:S101,10,FALSE)),ROUND(VLOOKUP("1.1.4",A2:S101,10,FALSE),4),0) - IF(ISNA(VLOOKUP("11.1.1",A2:S101,10,FALSE)),0,ROUND(VLOOKUP("11.1.1",A2:S101,10,FALSE),4)))</f>
        <v>0.12221418341359319</v>
      </c>
      <c r="K61" s="14">
        <f>((IF(ISNUMBER(VLOOKUP("1.1",A2:S101,11,FALSE)),ROUND(VLOOKUP("1.1",A2:S101,11,FALSE),4),0) - IF(ISNUMBER(VLOOKUP("9.1.1",A2:S101,11,FALSE)),ROUND(VLOOKUP("9.1.1",A2:S101,11,FALSE),4),0) - IF(ISNA(VLOOKUP("11.1.1",A2:S101,11,FALSE)),0,ROUND(VLOOKUP("11.1.1",A2:S101,11,FALSE),4))) - (IF(ISNUMBER(VLOOKUP("2.1",A2:S101,11,FALSE)),ROUND(VLOOKUP("2.1",A2:S101,11,FALSE),4),0) - IF(ISNUMBER(VLOOKUP("9.3.1",A2:S101,11,FALSE)),ROUND(VLOOKUP("9.3.1",A2:S101,11,FALSE),4),0) - IF(ISNUMBER(VLOOKUP("10.7.2.1.1",A2:S101,11,FALSE)),ROUND(VLOOKUP("10.7.2.1.1",A2:S101,11,FALSE),4),0) - IF(ISNUMBER(VLOOKUP("2.1.3",A2:S101,11,FALSE)),ROUND(VLOOKUP("2.1.3",A2:S101,11,FALSE),4),0) - IF(ISNUMBER(VLOOKUP("10.11",A2:S101,11,FALSE)),ROUND(VLOOKUP("10.11",A2:S101,11,FALSE),4),0))) / (IF(ISNUMBER(VLOOKUP("1.1",A2:S101,11,FALSE)),ROUND(VLOOKUP("1.1",A2:S101,11,FALSE),4),0) - IF(ISNUMBER(VLOOKUP("1.1.4",A2:S101,11,FALSE)),ROUND(VLOOKUP("1.1.4",A2:S101,11,FALSE),4),0) - IF(ISNA(VLOOKUP("11.1.1",A2:S101,11,FALSE)),0,ROUND(VLOOKUP("11.1.1",A2:S101,11,FALSE),4)))</f>
        <v>0.13852097885715417</v>
      </c>
      <c r="L61" s="14">
        <f>((IF(ISNUMBER(VLOOKUP("1.1",A2:S101,12,FALSE)),ROUND(VLOOKUP("1.1",A2:S101,12,FALSE),4),0) - IF(ISNUMBER(VLOOKUP("9.1.1",A2:S101,12,FALSE)),ROUND(VLOOKUP("9.1.1",A2:S101,12,FALSE),4),0) - IF(ISNA(VLOOKUP("11.1.1",A2:S101,12,FALSE)),0,ROUND(VLOOKUP("11.1.1",A2:S101,12,FALSE),4))) - (IF(ISNUMBER(VLOOKUP("2.1",A2:S101,12,FALSE)),ROUND(VLOOKUP("2.1",A2:S101,12,FALSE),4),0) - IF(ISNUMBER(VLOOKUP("9.3.1",A2:S101,12,FALSE)),ROUND(VLOOKUP("9.3.1",A2:S101,12,FALSE),4),0) - IF(ISNUMBER(VLOOKUP("10.7.2.1.1",A2:S101,12,FALSE)),ROUND(VLOOKUP("10.7.2.1.1",A2:S101,12,FALSE),4),0) - IF(ISNUMBER(VLOOKUP("2.1.3",A2:S101,12,FALSE)),ROUND(VLOOKUP("2.1.3",A2:S101,12,FALSE),4),0) - IF(ISNUMBER(VLOOKUP("10.11",A2:S101,12,FALSE)),ROUND(VLOOKUP("10.11",A2:S101,12,FALSE),4),0))) / (IF(ISNUMBER(VLOOKUP("1.1",A2:S101,12,FALSE)),ROUND(VLOOKUP("1.1",A2:S101,12,FALSE),4),0) - IF(ISNUMBER(VLOOKUP("1.1.4",A2:S101,12,FALSE)),ROUND(VLOOKUP("1.1.4",A2:S101,12,FALSE),4),0) - IF(ISNA(VLOOKUP("11.1.1",A2:S101,12,FALSE)),0,ROUND(VLOOKUP("11.1.1",A2:S101,12,FALSE),4)))</f>
        <v>0.138520986306195</v>
      </c>
      <c r="M61" s="14">
        <f>((IF(ISNUMBER(VLOOKUP("1.1",A2:S101,13,FALSE)),ROUND(VLOOKUP("1.1",A2:S101,13,FALSE),4),0) - IF(ISNUMBER(VLOOKUP("9.1.1",A2:S101,13,FALSE)),ROUND(VLOOKUP("9.1.1",A2:S101,13,FALSE),4),0) - IF(ISNA(VLOOKUP("11.1.1",A2:S101,13,FALSE)),0,ROUND(VLOOKUP("11.1.1",A2:S101,13,FALSE),4))) - (IF(ISNUMBER(VLOOKUP("2.1",A2:S101,13,FALSE)),ROUND(VLOOKUP("2.1",A2:S101,13,FALSE),4),0) - IF(ISNUMBER(VLOOKUP("9.3.1",A2:S101,13,FALSE)),ROUND(VLOOKUP("9.3.1",A2:S101,13,FALSE),4),0) - IF(ISNUMBER(VLOOKUP("10.7.2.1.1",A2:S101,13,FALSE)),ROUND(VLOOKUP("10.7.2.1.1",A2:S101,13,FALSE),4),0) - IF(ISNUMBER(VLOOKUP("2.1.3",A2:S101,13,FALSE)),ROUND(VLOOKUP("2.1.3",A2:S101,13,FALSE),4),0) - IF(ISNUMBER(VLOOKUP("10.11",A2:S101,13,FALSE)),ROUND(VLOOKUP("10.11",A2:S101,13,FALSE),4),0))) / (IF(ISNUMBER(VLOOKUP("1.1",A2:S101,13,FALSE)),ROUND(VLOOKUP("1.1",A2:S101,13,FALSE),4),0) - IF(ISNUMBER(VLOOKUP("1.1.4",A2:S101,13,FALSE)),ROUND(VLOOKUP("1.1.4",A2:S101,13,FALSE),4),0) - IF(ISNA(VLOOKUP("11.1.1",A2:S101,13,FALSE)),0,ROUND(VLOOKUP("11.1.1",A2:S101,13,FALSE),4)))</f>
        <v>0.13852097788220133</v>
      </c>
      <c r="N61" s="14">
        <f>((IF(ISNUMBER(VLOOKUP("1.1",A2:S101,14,FALSE)),ROUND(VLOOKUP("1.1",A2:S101,14,FALSE),4),0) - IF(ISNUMBER(VLOOKUP("9.1.1",A2:S101,14,FALSE)),ROUND(VLOOKUP("9.1.1",A2:S101,14,FALSE),4),0) - IF(ISNA(VLOOKUP("11.1.1",A2:S101,14,FALSE)),0,ROUND(VLOOKUP("11.1.1",A2:S101,14,FALSE),4))) - (IF(ISNUMBER(VLOOKUP("2.1",A2:S101,14,FALSE)),ROUND(VLOOKUP("2.1",A2:S101,14,FALSE),4),0) - IF(ISNUMBER(VLOOKUP("9.3.1",A2:S101,14,FALSE)),ROUND(VLOOKUP("9.3.1",A2:S101,14,FALSE),4),0) - IF(ISNUMBER(VLOOKUP("10.7.2.1.1",A2:S101,14,FALSE)),ROUND(VLOOKUP("10.7.2.1.1",A2:S101,14,FALSE),4),0) - IF(ISNUMBER(VLOOKUP("2.1.3",A2:S101,14,FALSE)),ROUND(VLOOKUP("2.1.3",A2:S101,14,FALSE),4),0) - IF(ISNUMBER(VLOOKUP("10.11",A2:S101,14,FALSE)),ROUND(VLOOKUP("10.11",A2:S101,14,FALSE),4),0))) / (IF(ISNUMBER(VLOOKUP("1.1",A2:S101,14,FALSE)),ROUND(VLOOKUP("1.1",A2:S101,14,FALSE),4),0) - IF(ISNUMBER(VLOOKUP("1.1.4",A2:S101,14,FALSE)),ROUND(VLOOKUP("1.1.4",A2:S101,14,FALSE),4),0) - IF(ISNA(VLOOKUP("11.1.1",A2:S101,14,FALSE)),0,ROUND(VLOOKUP("11.1.1",A2:S101,14,FALSE),4)))</f>
        <v>0.13852096559854238</v>
      </c>
      <c r="O61" s="14">
        <f>((IF(ISNUMBER(VLOOKUP("1.1",A2:S101,15,FALSE)),ROUND(VLOOKUP("1.1",A2:S101,15,FALSE),4),0) - IF(ISNUMBER(VLOOKUP("9.1.1",A2:S101,15,FALSE)),ROUND(VLOOKUP("9.1.1",A2:S101,15,FALSE),4),0) - IF(ISNA(VLOOKUP("11.1.1",A2:S101,15,FALSE)),0,ROUND(VLOOKUP("11.1.1",A2:S101,15,FALSE),4))) - (IF(ISNUMBER(VLOOKUP("2.1",A2:S101,15,FALSE)),ROUND(VLOOKUP("2.1",A2:S101,15,FALSE),4),0) - IF(ISNUMBER(VLOOKUP("9.3.1",A2:S101,15,FALSE)),ROUND(VLOOKUP("9.3.1",A2:S101,15,FALSE),4),0) - IF(ISNUMBER(VLOOKUP("10.7.2.1.1",A2:S101,15,FALSE)),ROUND(VLOOKUP("10.7.2.1.1",A2:S101,15,FALSE),4),0) - IF(ISNUMBER(VLOOKUP("2.1.3",A2:S101,15,FALSE)),ROUND(VLOOKUP("2.1.3",A2:S101,15,FALSE),4),0) - IF(ISNUMBER(VLOOKUP("10.11",A2:S101,15,FALSE)),ROUND(VLOOKUP("10.11",A2:S101,15,FALSE),4),0))) / (IF(ISNUMBER(VLOOKUP("1.1",A2:S101,15,FALSE)),ROUND(VLOOKUP("1.1",A2:S101,15,FALSE),4),0) - IF(ISNUMBER(VLOOKUP("1.1.4",A2:S101,15,FALSE)),ROUND(VLOOKUP("1.1.4",A2:S101,15,FALSE),4),0) - IF(ISNA(VLOOKUP("11.1.1",A2:S101,15,FALSE)),0,ROUND(VLOOKUP("11.1.1",A2:S101,15,FALSE),4)))</f>
        <v>0.1385209778306942</v>
      </c>
      <c r="P61" s="14">
        <f>((IF(ISNUMBER(VLOOKUP("1.1",A2:S101,16,FALSE)),ROUND(VLOOKUP("1.1",A2:S101,16,FALSE),4),0) - IF(ISNUMBER(VLOOKUP("9.1.1",A2:S101,16,FALSE)),ROUND(VLOOKUP("9.1.1",A2:S101,16,FALSE),4),0) - IF(ISNA(VLOOKUP("11.1.1",A2:S101,16,FALSE)),0,ROUND(VLOOKUP("11.1.1",A2:S101,16,FALSE),4))) - (IF(ISNUMBER(VLOOKUP("2.1",A2:S101,16,FALSE)),ROUND(VLOOKUP("2.1",A2:S101,16,FALSE),4),0) - IF(ISNUMBER(VLOOKUP("9.3.1",A2:S101,16,FALSE)),ROUND(VLOOKUP("9.3.1",A2:S101,16,FALSE),4),0) - IF(ISNUMBER(VLOOKUP("10.7.2.1.1",A2:S101,16,FALSE)),ROUND(VLOOKUP("10.7.2.1.1",A2:S101,16,FALSE),4),0) - IF(ISNUMBER(VLOOKUP("2.1.3",A2:S101,16,FALSE)),ROUND(VLOOKUP("2.1.3",A2:S101,16,FALSE),4),0) - IF(ISNUMBER(VLOOKUP("10.11",A2:S101,16,FALSE)),ROUND(VLOOKUP("10.11",A2:S101,16,FALSE),4),0))) / (IF(ISNUMBER(VLOOKUP("1.1",A2:S101,16,FALSE)),ROUND(VLOOKUP("1.1",A2:S101,16,FALSE),4),0) - IF(ISNUMBER(VLOOKUP("1.1.4",A2:S101,16,FALSE)),ROUND(VLOOKUP("1.1.4",A2:S101,16,FALSE),4),0) - IF(ISNA(VLOOKUP("11.1.1",A2:S101,16,FALSE)),0,ROUND(VLOOKUP("11.1.1",A2:S101,16,FALSE),4)))</f>
        <v>0.13852097242776096</v>
      </c>
      <c r="Q61" s="14">
        <f>((IF(ISNUMBER(VLOOKUP("1.1",A2:S101,17,FALSE)),ROUND(VLOOKUP("1.1",A2:S101,17,FALSE),4),0) - IF(ISNUMBER(VLOOKUP("9.1.1",A2:S101,17,FALSE)),ROUND(VLOOKUP("9.1.1",A2:S101,17,FALSE),4),0) - IF(ISNA(VLOOKUP("11.1.1",A2:S101,17,FALSE)),0,ROUND(VLOOKUP("11.1.1",A2:S101,17,FALSE),4))) - (IF(ISNUMBER(VLOOKUP("2.1",A2:S101,17,FALSE)),ROUND(VLOOKUP("2.1",A2:S101,17,FALSE),4),0) - IF(ISNUMBER(VLOOKUP("9.3.1",A2:S101,17,FALSE)),ROUND(VLOOKUP("9.3.1",A2:S101,17,FALSE),4),0) - IF(ISNUMBER(VLOOKUP("10.7.2.1.1",A2:S101,17,FALSE)),ROUND(VLOOKUP("10.7.2.1.1",A2:S101,17,FALSE),4),0) - IF(ISNUMBER(VLOOKUP("2.1.3",A2:S101,17,FALSE)),ROUND(VLOOKUP("2.1.3",A2:S101,17,FALSE),4),0) - IF(ISNUMBER(VLOOKUP("10.11",A2:S101,17,FALSE)),ROUND(VLOOKUP("10.11",A2:S101,17,FALSE),4),0))) / (IF(ISNUMBER(VLOOKUP("1.1",A2:S101,17,FALSE)),ROUND(VLOOKUP("1.1",A2:S101,17,FALSE),4),0) - IF(ISNUMBER(VLOOKUP("1.1.4",A2:S101,17,FALSE)),ROUND(VLOOKUP("1.1.4",A2:S101,17,FALSE),4),0) - IF(ISNA(VLOOKUP("11.1.1",A2:S101,17,FALSE)),0,ROUND(VLOOKUP("11.1.1",A2:S101,17,FALSE),4)))</f>
        <v>0.13852098673397051</v>
      </c>
      <c r="R61" s="14">
        <f>((IF(ISNUMBER(VLOOKUP("1.1",A2:S101,18,FALSE)),ROUND(VLOOKUP("1.1",A2:S101,18,FALSE),4),0) - IF(ISNUMBER(VLOOKUP("9.1.1",A2:S101,18,FALSE)),ROUND(VLOOKUP("9.1.1",A2:S101,18,FALSE),4),0) - IF(ISNA(VLOOKUP("11.1.1",A2:S101,18,FALSE)),0,ROUND(VLOOKUP("11.1.1",A2:S101,18,FALSE),4))) - (IF(ISNUMBER(VLOOKUP("2.1",A2:S101,18,FALSE)),ROUND(VLOOKUP("2.1",A2:S101,18,FALSE),4),0) - IF(ISNUMBER(VLOOKUP("9.3.1",A2:S101,18,FALSE)),ROUND(VLOOKUP("9.3.1",A2:S101,18,FALSE),4),0) - IF(ISNUMBER(VLOOKUP("10.7.2.1.1",A2:S101,18,FALSE)),ROUND(VLOOKUP("10.7.2.1.1",A2:S101,18,FALSE),4),0) - IF(ISNUMBER(VLOOKUP("2.1.3",A2:S101,18,FALSE)),ROUND(VLOOKUP("2.1.3",A2:S101,18,FALSE),4),0) - IF(ISNUMBER(VLOOKUP("10.11",A2:S101,18,FALSE)),ROUND(VLOOKUP("10.11",A2:S101,18,FALSE),4),0))) / (IF(ISNUMBER(VLOOKUP("1.1",A2:S101,18,FALSE)),ROUND(VLOOKUP("1.1",A2:S101,18,FALSE),4),0) - IF(ISNUMBER(VLOOKUP("1.1.4",A2:S101,18,FALSE)),ROUND(VLOOKUP("1.1.4",A2:S101,18,FALSE),4),0) - IF(ISNA(VLOOKUP("11.1.1",A2:S101,18,FALSE)),0,ROUND(VLOOKUP("11.1.1",A2:S101,18,FALSE),4)))</f>
        <v>0.13852097955543796</v>
      </c>
      <c r="S61" s="14">
        <f>((IF(ISNUMBER(VLOOKUP("1.1",A2:S101,19,FALSE)),ROUND(VLOOKUP("1.1",A2:S101,19,FALSE),4),0) - IF(ISNUMBER(VLOOKUP("9.1.1",A2:S101,19,FALSE)),ROUND(VLOOKUP("9.1.1",A2:S101,19,FALSE),4),0) - IF(ISNA(VLOOKUP("11.1.1",A2:S101,19,FALSE)),0,ROUND(VLOOKUP("11.1.1",A2:S101,19,FALSE),4))) - (IF(ISNUMBER(VLOOKUP("2.1",A2:S101,19,FALSE)),ROUND(VLOOKUP("2.1",A2:S101,19,FALSE),4),0) - IF(ISNUMBER(VLOOKUP("9.3.1",A2:S101,19,FALSE)),ROUND(VLOOKUP("9.3.1",A2:S101,19,FALSE),4),0) - IF(ISNUMBER(VLOOKUP("10.7.2.1.1",A2:S101,19,FALSE)),ROUND(VLOOKUP("10.7.2.1.1",A2:S101,19,FALSE),4),0) - IF(ISNUMBER(VLOOKUP("2.1.3",A2:S101,19,FALSE)),ROUND(VLOOKUP("2.1.3",A2:S101,19,FALSE),4),0) - IF(ISNUMBER(VLOOKUP("10.11",A2:S101,19,FALSE)),ROUND(VLOOKUP("10.11",A2:S101,19,FALSE),4),0))) / (IF(ISNUMBER(VLOOKUP("1.1",A2:S101,19,FALSE)),ROUND(VLOOKUP("1.1",A2:S101,19,FALSE),4),0) - IF(ISNUMBER(VLOOKUP("1.1.4",A2:S101,19,FALSE)),ROUND(VLOOKUP("1.1.4",A2:S101,19,FALSE),4),0) - IF(ISNA(VLOOKUP("11.1.1",A2:S101,19,FALSE)),0,ROUND(VLOOKUP("11.1.1",A2:S101,19,FALSE),4)))</f>
        <v>0.13852096288537818</v>
      </c>
    </row>
    <row r="62" spans="1:19" ht="33.75" hidden="1" x14ac:dyDescent="0.25">
      <c r="A62" s="12" t="s">
        <v>133</v>
      </c>
      <c r="B62" s="13" t="s">
        <v>134</v>
      </c>
      <c r="C62" s="14">
        <f>((IF(ISNUMBER(VLOOKUP("1.1",A2:S101,3,FALSE)),ROUND(VLOOKUP("1.1",A2:S101,3,FALSE),4),0) - IF(ISNUMBER(VLOOKUP("9.1.1",A2:S101,3,FALSE)),ROUND(VLOOKUP("9.1.1",A2:S101,3,FALSE),4),0) - IF(ISNA(VLOOKUP("11.1.1",A2:S101,3,FALSE)),0,ROUND(VLOOKUP("11.1.1",A2:S101,3,FALSE),4))) + IF(ISNUMBER(VLOOKUP("1.2.1",A2:S101,3,FALSE)),ROUND(VLOOKUP("1.2.1",A2:S101,3,FALSE),4),0) - (IF(ISNUMBER(VLOOKUP("2.1",A2:S101,3,FALSE)),ROUND(VLOOKUP("2.1",A2:S101,3,FALSE),4),0) - IF(ISNUMBER(VLOOKUP("9.3.1",A2:S101,3,FALSE)),ROUND(VLOOKUP("9.3.1",A2:S101,3,FALSE),4),0) - IF(ISNUMBER(VLOOKUP("10.7.2.1.1",A2:S101,3,FALSE)),ROUND(VLOOKUP("10.7.2.1.1",A2:S101,3,FALSE),4),0) - IF(ISNUMBER(VLOOKUP("2.1.3",A2:S101,3,FALSE)),ROUND(VLOOKUP("2.1.3",A2:S101,3,FALSE),4),0) - IF(ISNUMBER(VLOOKUP("10.11",A2:S101,3,FALSE)),ROUND(VLOOKUP("10.11",A2:S101,3,FALSE),4),0))) / (IF(ISNUMBER(VLOOKUP("1.1",A2:S101,3,FALSE)),ROUND(VLOOKUP("1.1",A2:S101,3,FALSE),4),0) - IF(ISNUMBER(VLOOKUP("1.1.4",A2:S101,3,FALSE)),ROUND(VLOOKUP("1.1.4",A2:S101,3,FALSE),4),0) - IF(ISNA(VLOOKUP("11.1.1",A2:S101,3,FALSE)),0,ROUND(VLOOKUP("11.1.1",A2:S101,3,FALSE),4)))</f>
        <v>0.11996850662987422</v>
      </c>
      <c r="D62" s="14">
        <f>((IF(ISNUMBER(VLOOKUP("1.1",A2:S101,4,FALSE)),ROUND(VLOOKUP("1.1",A2:S101,4,FALSE),4),0) - IF(ISNUMBER(VLOOKUP("9.1.1",A2:S101,4,FALSE)),ROUND(VLOOKUP("9.1.1",A2:S101,4,FALSE),4),0) - IF(ISNA(VLOOKUP("11.1.1",A2:S101,4,FALSE)),0,ROUND(VLOOKUP("11.1.1",A2:S101,4,FALSE),4))) + IF(ISNUMBER(VLOOKUP("1.2.1",A2:S101,4,FALSE)),ROUND(VLOOKUP("1.2.1",A2:S101,4,FALSE),4),0) - (IF(ISNUMBER(VLOOKUP("2.1",A2:S101,4,FALSE)),ROUND(VLOOKUP("2.1",A2:S101,4,FALSE),4),0) - IF(ISNUMBER(VLOOKUP("9.3.1",A2:S101,4,FALSE)),ROUND(VLOOKUP("9.3.1",A2:S101,4,FALSE),4),0) - IF(ISNUMBER(VLOOKUP("10.7.2.1.1",A2:S101,4,FALSE)),ROUND(VLOOKUP("10.7.2.1.1",A2:S101,4,FALSE),4),0) - IF(ISNUMBER(VLOOKUP("2.1.3",A2:S101,4,FALSE)),ROUND(VLOOKUP("2.1.3",A2:S101,4,FALSE),4),0) - IF(ISNUMBER(VLOOKUP("10.11",A2:S101,4,FALSE)),ROUND(VLOOKUP("10.11",A2:S101,4,FALSE),4),0))) / (IF(ISNUMBER(VLOOKUP("1.1",A2:S101,4,FALSE)),ROUND(VLOOKUP("1.1",A2:S101,4,FALSE),4),0) - IF(ISNUMBER(VLOOKUP("1.1.4",A2:S101,4,FALSE)),ROUND(VLOOKUP("1.1.4",A2:S101,4,FALSE),4),0) - IF(ISNA(VLOOKUP("11.1.1",A2:S101,4,FALSE)),0,ROUND(VLOOKUP("11.1.1",A2:S101,4,FALSE),4)))</f>
        <v>0.13832685949704943</v>
      </c>
      <c r="E62" s="14">
        <f>((IF(ISNUMBER(VLOOKUP("1.1",A2:S101,5,FALSE)),ROUND(VLOOKUP("1.1",A2:S101,5,FALSE),4),0) - IF(ISNUMBER(VLOOKUP("9.1.1",A2:S101,5,FALSE)),ROUND(VLOOKUP("9.1.1",A2:S101,5,FALSE),4),0) - IF(ISNA(VLOOKUP("11.1.1",A2:S101,5,FALSE)),0,ROUND(VLOOKUP("11.1.1",A2:S101,5,FALSE),4))) + IF(ISNUMBER(VLOOKUP("1.2.1",A2:S101,5,FALSE)),ROUND(VLOOKUP("1.2.1",A2:S101,5,FALSE),4),0) - (IF(ISNUMBER(VLOOKUP("2.1",A2:S101,5,FALSE)),ROUND(VLOOKUP("2.1",A2:S101,5,FALSE),4),0) - IF(ISNUMBER(VLOOKUP("9.3.1",A2:S101,5,FALSE)),ROUND(VLOOKUP("9.3.1",A2:S101,5,FALSE),4),0) - IF(ISNUMBER(VLOOKUP("10.7.2.1.1",A2:S101,5,FALSE)),ROUND(VLOOKUP("10.7.2.1.1",A2:S101,5,FALSE),4),0) - IF(ISNUMBER(VLOOKUP("2.1.3",A2:S101,5,FALSE)),ROUND(VLOOKUP("2.1.3",A2:S101,5,FALSE),4),0) - IF(ISNUMBER(VLOOKUP("10.11",A2:S101,5,FALSE)),ROUND(VLOOKUP("10.11",A2:S101,5,FALSE),4),0))) / (IF(ISNUMBER(VLOOKUP("1.1",A2:S101,5,FALSE)),ROUND(VLOOKUP("1.1",A2:S101,5,FALSE),4),0) - IF(ISNUMBER(VLOOKUP("1.1.4",A2:S101,5,FALSE)),ROUND(VLOOKUP("1.1.4",A2:S101,5,FALSE),4),0) - IF(ISNA(VLOOKUP("11.1.1",A2:S101,5,FALSE)),0,ROUND(VLOOKUP("11.1.1",A2:S101,5,FALSE),4)))</f>
        <v>0.10012044252909999</v>
      </c>
      <c r="F62" s="14">
        <f>((IF(ISNUMBER(VLOOKUP("1.1",A2:S101,6,FALSE)),ROUND(VLOOKUP("1.1",A2:S101,6,FALSE),4),0) - IF(ISNUMBER(VLOOKUP("9.1.1",A2:S101,6,FALSE)),ROUND(VLOOKUP("9.1.1",A2:S101,6,FALSE),4),0) - IF(ISNA(VLOOKUP("11.1.1",A2:S101,6,FALSE)),0,ROUND(VLOOKUP("11.1.1",A2:S101,6,FALSE),4))) + IF(ISNUMBER(VLOOKUP("1.2.1",A2:S101,6,FALSE)),ROUND(VLOOKUP("1.2.1",A2:S101,6,FALSE),4),0) - (IF(ISNUMBER(VLOOKUP("2.1",A2:S101,6,FALSE)),ROUND(VLOOKUP("2.1",A2:S101,6,FALSE),4),0) - IF(ISNUMBER(VLOOKUP("9.3.1",A2:S101,6,FALSE)),ROUND(VLOOKUP("9.3.1",A2:S101,6,FALSE),4),0) - IF(ISNUMBER(VLOOKUP("10.7.2.1.1",A2:S101,6,FALSE)),ROUND(VLOOKUP("10.7.2.1.1",A2:S101,6,FALSE),4),0) - IF(ISNUMBER(VLOOKUP("2.1.3",A2:S101,6,FALSE)),ROUND(VLOOKUP("2.1.3",A2:S101,6,FALSE),4),0) - IF(ISNUMBER(VLOOKUP("10.11",A2:S101,6,FALSE)),ROUND(VLOOKUP("10.11",A2:S101,6,FALSE),4),0))) / (IF(ISNUMBER(VLOOKUP("1.1",A2:S101,6,FALSE)),ROUND(VLOOKUP("1.1",A2:S101,6,FALSE),4),0) - IF(ISNUMBER(VLOOKUP("1.1.4",A2:S101,6,FALSE)),ROUND(VLOOKUP("1.1.4",A2:S101,6,FALSE),4),0) - IF(ISNA(VLOOKUP("11.1.1",A2:S101,6,FALSE)),0,ROUND(VLOOKUP("11.1.1",A2:S101,6,FALSE),4)))</f>
        <v>0.10073968428360193</v>
      </c>
      <c r="G62" s="14">
        <f>((IF(ISNUMBER(VLOOKUP("1.1",A2:S101,7,FALSE)),ROUND(VLOOKUP("1.1",A2:S101,7,FALSE),4),0) - IF(ISNUMBER(VLOOKUP("9.1.1",A2:S101,7,FALSE)),ROUND(VLOOKUP("9.1.1",A2:S101,7,FALSE),4),0) - IF(ISNA(VLOOKUP("11.1.1",A2:S101,7,FALSE)),0,ROUND(VLOOKUP("11.1.1",A2:S101,7,FALSE),4))) + IF(ISNUMBER(VLOOKUP("1.2.1",A2:S101,7,FALSE)),ROUND(VLOOKUP("1.2.1",A2:S101,7,FALSE),4),0) - (IF(ISNUMBER(VLOOKUP("2.1",A2:S101,7,FALSE)),ROUND(VLOOKUP("2.1",A2:S101,7,FALSE),4),0) - IF(ISNUMBER(VLOOKUP("9.3.1",A2:S101,7,FALSE)),ROUND(VLOOKUP("9.3.1",A2:S101,7,FALSE),4),0) - IF(ISNUMBER(VLOOKUP("10.7.2.1.1",A2:S101,7,FALSE)),ROUND(VLOOKUP("10.7.2.1.1",A2:S101,7,FALSE),4),0) - IF(ISNUMBER(VLOOKUP("2.1.3",A2:S101,7,FALSE)),ROUND(VLOOKUP("2.1.3",A2:S101,7,FALSE),4),0) - IF(ISNUMBER(VLOOKUP("10.11",A2:S101,7,FALSE)),ROUND(VLOOKUP("10.11",A2:S101,7,FALSE),4),0))) / (IF(ISNUMBER(VLOOKUP("1.1",A2:S101,7,FALSE)),ROUND(VLOOKUP("1.1",A2:S101,7,FALSE),4),0) - IF(ISNUMBER(VLOOKUP("1.1.4",A2:S101,7,FALSE)),ROUND(VLOOKUP("1.1.4",A2:S101,7,FALSE),4),0) - IF(ISNA(VLOOKUP("11.1.1",A2:S101,7,FALSE)),0,ROUND(VLOOKUP("11.1.1",A2:S101,7,FALSE),4)))</f>
        <v>0.10753651479797208</v>
      </c>
      <c r="H62" s="14">
        <f>((IF(ISNUMBER(VLOOKUP("1.1",A2:S101,8,FALSE)),ROUND(VLOOKUP("1.1",A2:S101,8,FALSE),4),0) - IF(ISNUMBER(VLOOKUP("9.1.1",A2:S101,8,FALSE)),ROUND(VLOOKUP("9.1.1",A2:S101,8,FALSE),4),0) - IF(ISNA(VLOOKUP("11.1.1",A2:S101,8,FALSE)),0,ROUND(VLOOKUP("11.1.1",A2:S101,8,FALSE),4))) + IF(ISNUMBER(VLOOKUP("1.2.1",A2:S101,8,FALSE)),ROUND(VLOOKUP("1.2.1",A2:S101,8,FALSE),4),0) - (IF(ISNUMBER(VLOOKUP("2.1",A2:S101,8,FALSE)),ROUND(VLOOKUP("2.1",A2:S101,8,FALSE),4),0) - IF(ISNUMBER(VLOOKUP("9.3.1",A2:S101,8,FALSE)),ROUND(VLOOKUP("9.3.1",A2:S101,8,FALSE),4),0) - IF(ISNUMBER(VLOOKUP("10.7.2.1.1",A2:S101,8,FALSE)),ROUND(VLOOKUP("10.7.2.1.1",A2:S101,8,FALSE),4),0) - IF(ISNUMBER(VLOOKUP("2.1.3",A2:S101,8,FALSE)),ROUND(VLOOKUP("2.1.3",A2:S101,8,FALSE),4),0) - IF(ISNUMBER(VLOOKUP("10.11",A2:S101,8,FALSE)),ROUND(VLOOKUP("10.11",A2:S101,8,FALSE),4),0))) / (IF(ISNUMBER(VLOOKUP("1.1",A2:S101,8,FALSE)),ROUND(VLOOKUP("1.1",A2:S101,8,FALSE),4),0) - IF(ISNUMBER(VLOOKUP("1.1.4",A2:S101,8,FALSE)),ROUND(VLOOKUP("1.1.4",A2:S101,8,FALSE),4),0) - IF(ISNA(VLOOKUP("11.1.1",A2:S101,8,FALSE)),0,ROUND(VLOOKUP("11.1.1",A2:S101,8,FALSE),4)))</f>
        <v>0.106290665910798</v>
      </c>
      <c r="I62" s="14">
        <f>((IF(ISNUMBER(VLOOKUP("1.1",A2:S101,9,FALSE)),ROUND(VLOOKUP("1.1",A2:S101,9,FALSE),4),0) - IF(ISNUMBER(VLOOKUP("9.1.1",A2:S101,9,FALSE)),ROUND(VLOOKUP("9.1.1",A2:S101,9,FALSE),4),0) - IF(ISNA(VLOOKUP("11.1.1",A2:S101,9,FALSE)),0,ROUND(VLOOKUP("11.1.1",A2:S101,9,FALSE),4))) + IF(ISNUMBER(VLOOKUP("1.2.1",A2:S101,9,FALSE)),ROUND(VLOOKUP("1.2.1",A2:S101,9,FALSE),4),0) - (IF(ISNUMBER(VLOOKUP("2.1",A2:S101,9,FALSE)),ROUND(VLOOKUP("2.1",A2:S101,9,FALSE),4),0) - IF(ISNUMBER(VLOOKUP("9.3.1",A2:S101,9,FALSE)),ROUND(VLOOKUP("9.3.1",A2:S101,9,FALSE),4),0) - IF(ISNUMBER(VLOOKUP("10.7.2.1.1",A2:S101,9,FALSE)),ROUND(VLOOKUP("10.7.2.1.1",A2:S101,9,FALSE),4),0) - IF(ISNUMBER(VLOOKUP("2.1.3",A2:S101,9,FALSE)),ROUND(VLOOKUP("2.1.3",A2:S101,9,FALSE),4),0) - IF(ISNUMBER(VLOOKUP("10.11",A2:S101,9,FALSE)),ROUND(VLOOKUP("10.11",A2:S101,9,FALSE),4),0))) / (IF(ISNUMBER(VLOOKUP("1.1",A2:S101,9,FALSE)),ROUND(VLOOKUP("1.1",A2:S101,9,FALSE),4),0) - IF(ISNUMBER(VLOOKUP("1.1.4",A2:S101,9,FALSE)),ROUND(VLOOKUP("1.1.4",A2:S101,9,FALSE),4),0) - IF(ISNA(VLOOKUP("11.1.1",A2:S101,9,FALSE)),0,ROUND(VLOOKUP("11.1.1",A2:S101,9,FALSE),4)))</f>
        <v>0.12057122141094245</v>
      </c>
      <c r="J62" s="14">
        <f>((IF(ISNUMBER(VLOOKUP("1.1",A2:S101,10,FALSE)),ROUND(VLOOKUP("1.1",A2:S101,10,FALSE),4),0) - IF(ISNUMBER(VLOOKUP("9.1.1",A2:S101,10,FALSE)),ROUND(VLOOKUP("9.1.1",A2:S101,10,FALSE),4),0) - IF(ISNA(VLOOKUP("11.1.1",A2:S101,10,FALSE)),0,ROUND(VLOOKUP("11.1.1",A2:S101,10,FALSE),4))) + IF(ISNUMBER(VLOOKUP("1.2.1",A2:S101,10,FALSE)),ROUND(VLOOKUP("1.2.1",A2:S101,10,FALSE),4),0) - (IF(ISNUMBER(VLOOKUP("2.1",A2:S101,10,FALSE)),ROUND(VLOOKUP("2.1",A2:S101,10,FALSE),4),0) - IF(ISNUMBER(VLOOKUP("9.3.1",A2:S101,10,FALSE)),ROUND(VLOOKUP("9.3.1",A2:S101,10,FALSE),4),0) - IF(ISNUMBER(VLOOKUP("10.7.2.1.1",A2:S101,10,FALSE)),ROUND(VLOOKUP("10.7.2.1.1",A2:S101,10,FALSE),4),0) - IF(ISNUMBER(VLOOKUP("2.1.3",A2:S101,10,FALSE)),ROUND(VLOOKUP("2.1.3",A2:S101,10,FALSE),4),0) - IF(ISNUMBER(VLOOKUP("10.11",A2:S101,10,FALSE)),ROUND(VLOOKUP("10.11",A2:S101,10,FALSE),4),0))) / (IF(ISNUMBER(VLOOKUP("1.1",A2:S101,10,FALSE)),ROUND(VLOOKUP("1.1",A2:S101,10,FALSE),4),0) - IF(ISNUMBER(VLOOKUP("1.1.4",A2:S101,10,FALSE)),ROUND(VLOOKUP("1.1.4",A2:S101,10,FALSE),4),0) - IF(ISNA(VLOOKUP("11.1.1",A2:S101,10,FALSE)),0,ROUND(VLOOKUP("11.1.1",A2:S101,10,FALSE),4)))</f>
        <v>0.13601050264116046</v>
      </c>
      <c r="K62" s="14">
        <f>((IF(ISNUMBER(VLOOKUP("1.1",A2:S101,11,FALSE)),ROUND(VLOOKUP("1.1",A2:S101,11,FALSE),4),0) - IF(ISNUMBER(VLOOKUP("9.1.1",A2:S101,11,FALSE)),ROUND(VLOOKUP("9.1.1",A2:S101,11,FALSE),4),0) - IF(ISNA(VLOOKUP("11.1.1",A2:S101,11,FALSE)),0,ROUND(VLOOKUP("11.1.1",A2:S101,11,FALSE),4))) + IF(ISNUMBER(VLOOKUP("1.2.1",A2:S101,11,FALSE)),ROUND(VLOOKUP("1.2.1",A2:S101,11,FALSE),4),0) - (IF(ISNUMBER(VLOOKUP("2.1",A2:S101,11,FALSE)),ROUND(VLOOKUP("2.1",A2:S101,11,FALSE),4),0) - IF(ISNUMBER(VLOOKUP("9.3.1",A2:S101,11,FALSE)),ROUND(VLOOKUP("9.3.1",A2:S101,11,FALSE),4),0) - IF(ISNUMBER(VLOOKUP("10.7.2.1.1",A2:S101,11,FALSE)),ROUND(VLOOKUP("10.7.2.1.1",A2:S101,11,FALSE),4),0) - IF(ISNUMBER(VLOOKUP("2.1.3",A2:S101,11,FALSE)),ROUND(VLOOKUP("2.1.3",A2:S101,11,FALSE),4),0) - IF(ISNUMBER(VLOOKUP("10.11",A2:S101,11,FALSE)),ROUND(VLOOKUP("10.11",A2:S101,11,FALSE),4),0))) / (IF(ISNUMBER(VLOOKUP("1.1",A2:S101,11,FALSE)),ROUND(VLOOKUP("1.1",A2:S101,11,FALSE),4),0) - IF(ISNUMBER(VLOOKUP("1.1.4",A2:S101,11,FALSE)),ROUND(VLOOKUP("1.1.4",A2:S101,11,FALSE),4),0) - IF(ISNA(VLOOKUP("11.1.1",A2:S101,11,FALSE)),0,ROUND(VLOOKUP("11.1.1",A2:S101,11,FALSE),4)))</f>
        <v>0.14521822120332462</v>
      </c>
      <c r="L62" s="14">
        <f>((IF(ISNUMBER(VLOOKUP("1.1",A2:S101,12,FALSE)),ROUND(VLOOKUP("1.1",A2:S101,12,FALSE),4),0) - IF(ISNUMBER(VLOOKUP("9.1.1",A2:S101,12,FALSE)),ROUND(VLOOKUP("9.1.1",A2:S101,12,FALSE),4),0) - IF(ISNA(VLOOKUP("11.1.1",A2:S101,12,FALSE)),0,ROUND(VLOOKUP("11.1.1",A2:S101,12,FALSE),4))) + IF(ISNUMBER(VLOOKUP("1.2.1",A2:S101,12,FALSE)),ROUND(VLOOKUP("1.2.1",A2:S101,12,FALSE),4),0) - (IF(ISNUMBER(VLOOKUP("2.1",A2:S101,12,FALSE)),ROUND(VLOOKUP("2.1",A2:S101,12,FALSE),4),0) - IF(ISNUMBER(VLOOKUP("9.3.1",A2:S101,12,FALSE)),ROUND(VLOOKUP("9.3.1",A2:S101,12,FALSE),4),0) - IF(ISNUMBER(VLOOKUP("10.7.2.1.1",A2:S101,12,FALSE)),ROUND(VLOOKUP("10.7.2.1.1",A2:S101,12,FALSE),4),0) - IF(ISNUMBER(VLOOKUP("2.1.3",A2:S101,12,FALSE)),ROUND(VLOOKUP("2.1.3",A2:S101,12,FALSE),4),0) - IF(ISNUMBER(VLOOKUP("10.11",A2:S101,12,FALSE)),ROUND(VLOOKUP("10.11",A2:S101,12,FALSE),4),0))) / (IF(ISNUMBER(VLOOKUP("1.1",A2:S101,12,FALSE)),ROUND(VLOOKUP("1.1",A2:S101,12,FALSE),4),0) - IF(ISNUMBER(VLOOKUP("1.1.4",A2:S101,12,FALSE)),ROUND(VLOOKUP("1.1.4",A2:S101,12,FALSE),4),0) - IF(ISNA(VLOOKUP("11.1.1",A2:S101,12,FALSE)),0,ROUND(VLOOKUP("11.1.1",A2:S101,12,FALSE),4)))</f>
        <v>0.14515191931692903</v>
      </c>
      <c r="M62" s="14">
        <f>((IF(ISNUMBER(VLOOKUP("1.1",A2:S101,13,FALSE)),ROUND(VLOOKUP("1.1",A2:S101,13,FALSE),4),0) - IF(ISNUMBER(VLOOKUP("9.1.1",A2:S101,13,FALSE)),ROUND(VLOOKUP("9.1.1",A2:S101,13,FALSE),4),0) - IF(ISNA(VLOOKUP("11.1.1",A2:S101,13,FALSE)),0,ROUND(VLOOKUP("11.1.1",A2:S101,13,FALSE),4))) + IF(ISNUMBER(VLOOKUP("1.2.1",A2:S101,13,FALSE)),ROUND(VLOOKUP("1.2.1",A2:S101,13,FALSE),4),0) - (IF(ISNUMBER(VLOOKUP("2.1",A2:S101,13,FALSE)),ROUND(VLOOKUP("2.1",A2:S101,13,FALSE),4),0) - IF(ISNUMBER(VLOOKUP("9.3.1",A2:S101,13,FALSE)),ROUND(VLOOKUP("9.3.1",A2:S101,13,FALSE),4),0) - IF(ISNUMBER(VLOOKUP("10.7.2.1.1",A2:S101,13,FALSE)),ROUND(VLOOKUP("10.7.2.1.1",A2:S101,13,FALSE),4),0) - IF(ISNUMBER(VLOOKUP("2.1.3",A2:S101,13,FALSE)),ROUND(VLOOKUP("2.1.3",A2:S101,13,FALSE),4),0) - IF(ISNUMBER(VLOOKUP("10.11",A2:S101,13,FALSE)),ROUND(VLOOKUP("10.11",A2:S101,13,FALSE),4),0))) / (IF(ISNUMBER(VLOOKUP("1.1",A2:S101,13,FALSE)),ROUND(VLOOKUP("1.1",A2:S101,13,FALSE),4),0) - IF(ISNUMBER(VLOOKUP("1.1.4",A2:S101,13,FALSE)),ROUND(VLOOKUP("1.1.4",A2:S101,13,FALSE),4),0) - IF(ISNA(VLOOKUP("11.1.1",A2:S101,13,FALSE)),0,ROUND(VLOOKUP("11.1.1",A2:S101,13,FALSE),4)))</f>
        <v>0.13852097788220133</v>
      </c>
      <c r="N62" s="14">
        <f>((IF(ISNUMBER(VLOOKUP("1.1",A2:S101,14,FALSE)),ROUND(VLOOKUP("1.1",A2:S101,14,FALSE),4),0) - IF(ISNUMBER(VLOOKUP("9.1.1",A2:S101,14,FALSE)),ROUND(VLOOKUP("9.1.1",A2:S101,14,FALSE),4),0) - IF(ISNA(VLOOKUP("11.1.1",A2:S101,14,FALSE)),0,ROUND(VLOOKUP("11.1.1",A2:S101,14,FALSE),4))) + IF(ISNUMBER(VLOOKUP("1.2.1",A2:S101,14,FALSE)),ROUND(VLOOKUP("1.2.1",A2:S101,14,FALSE),4),0) - (IF(ISNUMBER(VLOOKUP("2.1",A2:S101,14,FALSE)),ROUND(VLOOKUP("2.1",A2:S101,14,FALSE),4),0) - IF(ISNUMBER(VLOOKUP("9.3.1",A2:S101,14,FALSE)),ROUND(VLOOKUP("9.3.1",A2:S101,14,FALSE),4),0) - IF(ISNUMBER(VLOOKUP("10.7.2.1.1",A2:S101,14,FALSE)),ROUND(VLOOKUP("10.7.2.1.1",A2:S101,14,FALSE),4),0) - IF(ISNUMBER(VLOOKUP("2.1.3",A2:S101,14,FALSE)),ROUND(VLOOKUP("2.1.3",A2:S101,14,FALSE),4),0) - IF(ISNUMBER(VLOOKUP("10.11",A2:S101,14,FALSE)),ROUND(VLOOKUP("10.11",A2:S101,14,FALSE),4),0))) / (IF(ISNUMBER(VLOOKUP("1.1",A2:S101,14,FALSE)),ROUND(VLOOKUP("1.1",A2:S101,14,FALSE),4),0) - IF(ISNUMBER(VLOOKUP("1.1.4",A2:S101,14,FALSE)),ROUND(VLOOKUP("1.1.4",A2:S101,14,FALSE),4),0) - IF(ISNA(VLOOKUP("11.1.1",A2:S101,14,FALSE)),0,ROUND(VLOOKUP("11.1.1",A2:S101,14,FALSE),4)))</f>
        <v>0.13852096559854238</v>
      </c>
      <c r="O62" s="14">
        <f>((IF(ISNUMBER(VLOOKUP("1.1",A2:S101,15,FALSE)),ROUND(VLOOKUP("1.1",A2:S101,15,FALSE),4),0) - IF(ISNUMBER(VLOOKUP("9.1.1",A2:S101,15,FALSE)),ROUND(VLOOKUP("9.1.1",A2:S101,15,FALSE),4),0) - IF(ISNA(VLOOKUP("11.1.1",A2:S101,15,FALSE)),0,ROUND(VLOOKUP("11.1.1",A2:S101,15,FALSE),4))) + IF(ISNUMBER(VLOOKUP("1.2.1",A2:S101,15,FALSE)),ROUND(VLOOKUP("1.2.1",A2:S101,15,FALSE),4),0) - (IF(ISNUMBER(VLOOKUP("2.1",A2:S101,15,FALSE)),ROUND(VLOOKUP("2.1",A2:S101,15,FALSE),4),0) - IF(ISNUMBER(VLOOKUP("9.3.1",A2:S101,15,FALSE)),ROUND(VLOOKUP("9.3.1",A2:S101,15,FALSE),4),0) - IF(ISNUMBER(VLOOKUP("10.7.2.1.1",A2:S101,15,FALSE)),ROUND(VLOOKUP("10.7.2.1.1",A2:S101,15,FALSE),4),0) - IF(ISNUMBER(VLOOKUP("2.1.3",A2:S101,15,FALSE)),ROUND(VLOOKUP("2.1.3",A2:S101,15,FALSE),4),0) - IF(ISNUMBER(VLOOKUP("10.11",A2:S101,15,FALSE)),ROUND(VLOOKUP("10.11",A2:S101,15,FALSE),4),0))) / (IF(ISNUMBER(VLOOKUP("1.1",A2:S101,15,FALSE)),ROUND(VLOOKUP("1.1",A2:S101,15,FALSE),4),0) - IF(ISNUMBER(VLOOKUP("1.1.4",A2:S101,15,FALSE)),ROUND(VLOOKUP("1.1.4",A2:S101,15,FALSE),4),0) - IF(ISNA(VLOOKUP("11.1.1",A2:S101,15,FALSE)),0,ROUND(VLOOKUP("11.1.1",A2:S101,15,FALSE),4)))</f>
        <v>0.1385209778306942</v>
      </c>
      <c r="P62" s="14">
        <f>((IF(ISNUMBER(VLOOKUP("1.1",A2:S101,16,FALSE)),ROUND(VLOOKUP("1.1",A2:S101,16,FALSE),4),0) - IF(ISNUMBER(VLOOKUP("9.1.1",A2:S101,16,FALSE)),ROUND(VLOOKUP("9.1.1",A2:S101,16,FALSE),4),0) - IF(ISNA(VLOOKUP("11.1.1",A2:S101,16,FALSE)),0,ROUND(VLOOKUP("11.1.1",A2:S101,16,FALSE),4))) + IF(ISNUMBER(VLOOKUP("1.2.1",A2:S101,16,FALSE)),ROUND(VLOOKUP("1.2.1",A2:S101,16,FALSE),4),0) - (IF(ISNUMBER(VLOOKUP("2.1",A2:S101,16,FALSE)),ROUND(VLOOKUP("2.1",A2:S101,16,FALSE),4),0) - IF(ISNUMBER(VLOOKUP("9.3.1",A2:S101,16,FALSE)),ROUND(VLOOKUP("9.3.1",A2:S101,16,FALSE),4),0) - IF(ISNUMBER(VLOOKUP("10.7.2.1.1",A2:S101,16,FALSE)),ROUND(VLOOKUP("10.7.2.1.1",A2:S101,16,FALSE),4),0) - IF(ISNUMBER(VLOOKUP("2.1.3",A2:S101,16,FALSE)),ROUND(VLOOKUP("2.1.3",A2:S101,16,FALSE),4),0) - IF(ISNUMBER(VLOOKUP("10.11",A2:S101,16,FALSE)),ROUND(VLOOKUP("10.11",A2:S101,16,FALSE),4),0))) / (IF(ISNUMBER(VLOOKUP("1.1",A2:S101,16,FALSE)),ROUND(VLOOKUP("1.1",A2:S101,16,FALSE),4),0) - IF(ISNUMBER(VLOOKUP("1.1.4",A2:S101,16,FALSE)),ROUND(VLOOKUP("1.1.4",A2:S101,16,FALSE),4),0) - IF(ISNA(VLOOKUP("11.1.1",A2:S101,16,FALSE)),0,ROUND(VLOOKUP("11.1.1",A2:S101,16,FALSE),4)))</f>
        <v>0.13852097242776096</v>
      </c>
      <c r="Q62" s="14">
        <f>((IF(ISNUMBER(VLOOKUP("1.1",A2:S101,17,FALSE)),ROUND(VLOOKUP("1.1",A2:S101,17,FALSE),4),0) - IF(ISNUMBER(VLOOKUP("9.1.1",A2:S101,17,FALSE)),ROUND(VLOOKUP("9.1.1",A2:S101,17,FALSE),4),0) - IF(ISNA(VLOOKUP("11.1.1",A2:S101,17,FALSE)),0,ROUND(VLOOKUP("11.1.1",A2:S101,17,FALSE),4))) + IF(ISNUMBER(VLOOKUP("1.2.1",A2:S101,17,FALSE)),ROUND(VLOOKUP("1.2.1",A2:S101,17,FALSE),4),0) - (IF(ISNUMBER(VLOOKUP("2.1",A2:S101,17,FALSE)),ROUND(VLOOKUP("2.1",A2:S101,17,FALSE),4),0) - IF(ISNUMBER(VLOOKUP("9.3.1",A2:S101,17,FALSE)),ROUND(VLOOKUP("9.3.1",A2:S101,17,FALSE),4),0) - IF(ISNUMBER(VLOOKUP("10.7.2.1.1",A2:S101,17,FALSE)),ROUND(VLOOKUP("10.7.2.1.1",A2:S101,17,FALSE),4),0) - IF(ISNUMBER(VLOOKUP("2.1.3",A2:S101,17,FALSE)),ROUND(VLOOKUP("2.1.3",A2:S101,17,FALSE),4),0) - IF(ISNUMBER(VLOOKUP("10.11",A2:S101,17,FALSE)),ROUND(VLOOKUP("10.11",A2:S101,17,FALSE),4),0))) / (IF(ISNUMBER(VLOOKUP("1.1",A2:S101,17,FALSE)),ROUND(VLOOKUP("1.1",A2:S101,17,FALSE),4),0) - IF(ISNUMBER(VLOOKUP("1.1.4",A2:S101,17,FALSE)),ROUND(VLOOKUP("1.1.4",A2:S101,17,FALSE),4),0) - IF(ISNA(VLOOKUP("11.1.1",A2:S101,17,FALSE)),0,ROUND(VLOOKUP("11.1.1",A2:S101,17,FALSE),4)))</f>
        <v>0.13852098673397051</v>
      </c>
      <c r="R62" s="14">
        <f>((IF(ISNUMBER(VLOOKUP("1.1",A2:S101,18,FALSE)),ROUND(VLOOKUP("1.1",A2:S101,18,FALSE),4),0) - IF(ISNUMBER(VLOOKUP("9.1.1",A2:S101,18,FALSE)),ROUND(VLOOKUP("9.1.1",A2:S101,18,FALSE),4),0) - IF(ISNA(VLOOKUP("11.1.1",A2:S101,18,FALSE)),0,ROUND(VLOOKUP("11.1.1",A2:S101,18,FALSE),4))) + IF(ISNUMBER(VLOOKUP("1.2.1",A2:S101,18,FALSE)),ROUND(VLOOKUP("1.2.1",A2:S101,18,FALSE),4),0) - (IF(ISNUMBER(VLOOKUP("2.1",A2:S101,18,FALSE)),ROUND(VLOOKUP("2.1",A2:S101,18,FALSE),4),0) - IF(ISNUMBER(VLOOKUP("9.3.1",A2:S101,18,FALSE)),ROUND(VLOOKUP("9.3.1",A2:S101,18,FALSE),4),0) - IF(ISNUMBER(VLOOKUP("10.7.2.1.1",A2:S101,18,FALSE)),ROUND(VLOOKUP("10.7.2.1.1",A2:S101,18,FALSE),4),0) - IF(ISNUMBER(VLOOKUP("2.1.3",A2:S101,18,FALSE)),ROUND(VLOOKUP("2.1.3",A2:S101,18,FALSE),4),0) - IF(ISNUMBER(VLOOKUP("10.11",A2:S101,18,FALSE)),ROUND(VLOOKUP("10.11",A2:S101,18,FALSE),4),0))) / (IF(ISNUMBER(VLOOKUP("1.1",A2:S101,18,FALSE)),ROUND(VLOOKUP("1.1",A2:S101,18,FALSE),4),0) - IF(ISNUMBER(VLOOKUP("1.1.4",A2:S101,18,FALSE)),ROUND(VLOOKUP("1.1.4",A2:S101,18,FALSE),4),0) - IF(ISNA(VLOOKUP("11.1.1",A2:S101,18,FALSE)),0,ROUND(VLOOKUP("11.1.1",A2:S101,18,FALSE),4)))</f>
        <v>0.13852097955543796</v>
      </c>
      <c r="S62" s="14">
        <f>((IF(ISNUMBER(VLOOKUP("1.1",A2:S101,19,FALSE)),ROUND(VLOOKUP("1.1",A2:S101,19,FALSE),4),0) - IF(ISNUMBER(VLOOKUP("9.1.1",A2:S101,19,FALSE)),ROUND(VLOOKUP("9.1.1",A2:S101,19,FALSE),4),0) - IF(ISNA(VLOOKUP("11.1.1",A2:S101,19,FALSE)),0,ROUND(VLOOKUP("11.1.1",A2:S101,19,FALSE),4))) + IF(ISNUMBER(VLOOKUP("1.2.1",A2:S101,19,FALSE)),ROUND(VLOOKUP("1.2.1",A2:S101,19,FALSE),4),0) - (IF(ISNUMBER(VLOOKUP("2.1",A2:S101,19,FALSE)),ROUND(VLOOKUP("2.1",A2:S101,19,FALSE),4),0) - IF(ISNUMBER(VLOOKUP("9.3.1",A2:S101,19,FALSE)),ROUND(VLOOKUP("9.3.1",A2:S101,19,FALSE),4),0) - IF(ISNUMBER(VLOOKUP("10.7.2.1.1",A2:S101,19,FALSE)),ROUND(VLOOKUP("10.7.2.1.1",A2:S101,19,FALSE),4),0) - IF(ISNUMBER(VLOOKUP("2.1.3",A2:S101,19,FALSE)),ROUND(VLOOKUP("2.1.3",A2:S101,19,FALSE),4),0) - IF(ISNUMBER(VLOOKUP("10.11",A2:S101,19,FALSE)),ROUND(VLOOKUP("10.11",A2:S101,19,FALSE),4),0))) / (IF(ISNUMBER(VLOOKUP("1.1",A2:S101,19,FALSE)),ROUND(VLOOKUP("1.1",A2:S101,19,FALSE),4),0) - IF(ISNUMBER(VLOOKUP("1.1.4",A2:S101,19,FALSE)),ROUND(VLOOKUP("1.1.4",A2:S101,19,FALSE),4),0) - IF(ISNA(VLOOKUP("11.1.1",A2:S101,19,FALSE)),0,ROUND(VLOOKUP("11.1.1",A2:S101,19,FALSE),4)))</f>
        <v>0.13852096288537818</v>
      </c>
    </row>
    <row r="63" spans="1:19" ht="78.599999999999994" customHeight="1" x14ac:dyDescent="0.25">
      <c r="A63" s="12" t="s">
        <v>135</v>
      </c>
      <c r="B63" s="13" t="s">
        <v>136</v>
      </c>
      <c r="C63" s="14">
        <f t="shared" ref="C63:F64" si="0">0.15</f>
        <v>0.15</v>
      </c>
      <c r="D63" s="14">
        <f t="shared" si="0"/>
        <v>0.15</v>
      </c>
      <c r="E63" s="14">
        <f t="shared" si="0"/>
        <v>0.15</v>
      </c>
      <c r="F63" s="14">
        <f t="shared" si="0"/>
        <v>0.15</v>
      </c>
      <c r="G63" s="14">
        <f>(IF(ISNUMBER(VLOOKUP("8.2.x",A2:S101,3,FALSE)),ROUND(VLOOKUP("8.2.x",A2:S101,3,FALSE),4),0)+IF(ISNUMBER(VLOOKUP("8.2.x",A2:S101,4,FALSE)),ROUND(VLOOKUP("8.2.x",A2:S101,4,FALSE),4),0)+IF(ISNUMBER(VLOOKUP("8.2.x",A2:S101,5,FALSE)),ROUND(VLOOKUP("8.2.x",A2:S101,5,FALSE),4),0))/3</f>
        <v>0.11946666666666665</v>
      </c>
      <c r="H63" s="14">
        <f>(IF(ISNUMBER(VLOOKUP("8.2.x",A2:S101,4,FALSE)),ROUND(VLOOKUP("8.2.x",A2:S101,4,FALSE),4),0)+IF(ISNUMBER(VLOOKUP("8.2.x",A2:S101,5,FALSE)),ROUND(VLOOKUP("8.2.x",A2:S101,5,FALSE),4),0)+IF(ISNUMBER(VLOOKUP("8.2.x",A2:S101,7,FALSE)),ROUND(VLOOKUP("8.2.x",A2:S101,7,FALSE),4),0))/3</f>
        <v>0.1153</v>
      </c>
      <c r="I63" s="14">
        <f>(IF(ISNUMBER(VLOOKUP("8.2.x",A2:S101,5,FALSE)),ROUND(VLOOKUP("8.2.x",A2:S101,5,FALSE),4),0)+IF(ISNUMBER(VLOOKUP("8.2.x",A2:S101,7,FALSE)),ROUND(VLOOKUP("8.2.x",A2:S101,7,FALSE),4),0)+IF(ISNUMBER(VLOOKUP("8.2.x",A2:S101,8,FALSE)),ROUND(VLOOKUP("8.2.x",A2:S101,8,FALSE),4),0))/3</f>
        <v>0.10463333333333334</v>
      </c>
      <c r="J63" s="14">
        <f>(IF(ISNUMBER(VLOOKUP("8.2.x",A2:S101,7,FALSE)),ROUND(VLOOKUP("8.2.x",A2:S101,7,FALSE),4),0)+IF(ISNUMBER(VLOOKUP("8.2.x",A2:S101,8,FALSE)),ROUND(VLOOKUP("8.2.x",A2:S101,8,FALSE),4),0)+IF(ISNUMBER(VLOOKUP("8.2.x",A2:S101,9,FALSE)),ROUND(VLOOKUP("8.2.x",A2:S101,9,FALSE),4),0))/3</f>
        <v>0.11146666666666666</v>
      </c>
      <c r="K63" s="14">
        <f>(IF(ISNUMBER(VLOOKUP("8.2.x",A2:S101,8,FALSE)),ROUND(VLOOKUP("8.2.x",A2:S101,8,FALSE),4),0)+IF(ISNUMBER(VLOOKUP("8.2.x",A2:S101,9,FALSE)),ROUND(VLOOKUP("8.2.x",A2:S101,9,FALSE),4),0)+IF(ISNUMBER(VLOOKUP("8.2.x",A2:S101,10,FALSE)),ROUND(VLOOKUP("8.2.x",A2:S101,10,FALSE),4),0))/3</f>
        <v>0.12096666666666667</v>
      </c>
      <c r="L63" s="14">
        <f>(IF(ISNUMBER(VLOOKUP("8.2",A2:S101,4,FALSE)),ROUND(VLOOKUP("8.2",A2:S101,4,FALSE),4),0)+IF(ISNUMBER(VLOOKUP("8.2",A2:S101,5,FALSE)),ROUND(VLOOKUP("8.2",A2:S101,5,FALSE),4),0)+IF(ISNUMBER(VLOOKUP("8.2",A2:S101,7,FALSE)),ROUND(VLOOKUP("8.2",A2:S101,7,FALSE),4),0)+IF(ISNUMBER(VLOOKUP("8.2",A2:S101,8,FALSE)),ROUND(VLOOKUP("8.2",A2:S101,8,FALSE),4),0)+IF(ISNUMBER(VLOOKUP("8.2",A2:S101,9,FALSE)),ROUND(VLOOKUP("8.2",A2:S101,9,FALSE),4),0)+IF(ISNUMBER(VLOOKUP("8.2",A2:S101,10,FALSE)),ROUND(VLOOKUP("8.2",A2:S101,10,FALSE),4),0)+IF(ISNUMBER(VLOOKUP("8.2",A2:S101,11,FALSE)),ROUND(VLOOKUP("8.2",A2:S101,11,FALSE),4),0))/7</f>
        <v>0.10125714285714287</v>
      </c>
      <c r="M63" s="14">
        <f>(IF(ISNUMBER(VLOOKUP("8.2",A2:S101,5,FALSE)),ROUND(VLOOKUP("8.2",A2:S101,5,FALSE),4),0)+IF(ISNUMBER(VLOOKUP("8.2",A2:S101,7,FALSE)),ROUND(VLOOKUP("8.2",A2:S101,7,FALSE),4),0)+IF(ISNUMBER(VLOOKUP("8.2",A2:S101,8,FALSE)),ROUND(VLOOKUP("8.2",A2:S101,8,FALSE),4),0)+IF(ISNUMBER(VLOOKUP("8.2",A2:S101,9,FALSE)),ROUND(VLOOKUP("8.2",A2:S101,9,FALSE),4),0)+IF(ISNUMBER(VLOOKUP("8.2",A2:S101,10,FALSE)),ROUND(VLOOKUP("8.2",A2:S101,10,FALSE),4),0)+IF(ISNUMBER(VLOOKUP("8.2",A2:S101,11,FALSE)),ROUND(VLOOKUP("8.2",A2:S101,11,FALSE),4),0)+IF(ISNUMBER(VLOOKUP("8.2",A2:S101,12,FALSE)),ROUND(VLOOKUP("8.2",A2:S101,12,FALSE),4),0))/7</f>
        <v>0.10687142857142858</v>
      </c>
      <c r="N63" s="14">
        <f>(IF(ISNUMBER(VLOOKUP("8.2",A2:S101,7,FALSE)),ROUND(VLOOKUP("8.2",A2:S101,7,FALSE),4),0)+IF(ISNUMBER(VLOOKUP("8.2",A2:S101,8,FALSE)),ROUND(VLOOKUP("8.2",A2:S101,8,FALSE),4),0)+IF(ISNUMBER(VLOOKUP("8.2",A2:S101,9,FALSE)),ROUND(VLOOKUP("8.2",A2:S101,9,FALSE),4),0)+IF(ISNUMBER(VLOOKUP("8.2",A2:S101,10,FALSE)),ROUND(VLOOKUP("8.2",A2:S101,10,FALSE),4),0)+IF(ISNUMBER(VLOOKUP("8.2",A2:S101,11,FALSE)),ROUND(VLOOKUP("8.2",A2:S101,11,FALSE),4),0)+IF(ISNUMBER(VLOOKUP("8.2",A2:S101,12,FALSE)),ROUND(VLOOKUP("8.2",A2:S101,12,FALSE),4),0)+IF(ISNUMBER(VLOOKUP("8.2",A2:S101,13,FALSE)),ROUND(VLOOKUP("8.2",A2:S101,13,FALSE),4),0))/7</f>
        <v>0.11494285714285717</v>
      </c>
      <c r="O63" s="14">
        <f>(IF(ISNUMBER(VLOOKUP("8.2",A2:S101,8,FALSE)),ROUND(VLOOKUP("8.2",A2:S101,8,FALSE),4),0)+IF(ISNUMBER(VLOOKUP("8.2",A2:S101,9,FALSE)),ROUND(VLOOKUP("8.2",A2:S101,9,FALSE),4),0)+IF(ISNUMBER(VLOOKUP("8.2",A2:S101,10,FALSE)),ROUND(VLOOKUP("8.2",A2:S101,10,FALSE),4),0)+IF(ISNUMBER(VLOOKUP("8.2",A2:S101,11,FALSE)),ROUND(VLOOKUP("8.2",A2:S101,11,FALSE),4),0)+IF(ISNUMBER(VLOOKUP("8.2",A2:S101,12,FALSE)),ROUND(VLOOKUP("8.2",A2:S101,12,FALSE),4),0)+IF(ISNUMBER(VLOOKUP("8.2",A2:S101,13,FALSE)),ROUND(VLOOKUP("8.2",A2:S101,13,FALSE),4),0)+IF(ISNUMBER(VLOOKUP("8.2",A2:S101,14,FALSE)),ROUND(VLOOKUP("8.2",A2:S101,14,FALSE),4),0))/7</f>
        <v>0.12488571428571429</v>
      </c>
      <c r="P63" s="14">
        <f>(IF(ISNUMBER(VLOOKUP("8.2",A2:S101,9,FALSE)),ROUND(VLOOKUP("8.2",A2:S101,9,FALSE),4),0)+IF(ISNUMBER(VLOOKUP("8.2",A2:S101,10,FALSE)),ROUND(VLOOKUP("8.2",A2:S101,10,FALSE),4),0)+IF(ISNUMBER(VLOOKUP("8.2",A2:S101,11,FALSE)),ROUND(VLOOKUP("8.2",A2:S101,11,FALSE),4),0)+IF(ISNUMBER(VLOOKUP("8.2",A2:S101,12,FALSE)),ROUND(VLOOKUP("8.2",A2:S101,12,FALSE),4),0)+IF(ISNUMBER(VLOOKUP("8.2",A2:S101,13,FALSE)),ROUND(VLOOKUP("8.2",A2:S101,13,FALSE),4),0)+IF(ISNUMBER(VLOOKUP("8.2",A2:S101,14,FALSE)),ROUND(VLOOKUP("8.2",A2:S101,14,FALSE),4),0)+IF(ISNUMBER(VLOOKUP("8.2",A2:S101,15,FALSE)),ROUND(VLOOKUP("8.2",A2:S101,15,FALSE),4),0))/7</f>
        <v>0.13158571428571433</v>
      </c>
      <c r="Q63" s="14">
        <f>(IF(ISNUMBER(VLOOKUP("8.2",A2:S101,10,FALSE)),ROUND(VLOOKUP("8.2",A2:S101,10,FALSE),4),0)+IF(ISNUMBER(VLOOKUP("8.2",A2:S101,11,FALSE)),ROUND(VLOOKUP("8.2",A2:S101,11,FALSE),4),0)+IF(ISNUMBER(VLOOKUP("8.2",A2:S101,12,FALSE)),ROUND(VLOOKUP("8.2",A2:S101,12,FALSE),4),0)+IF(ISNUMBER(VLOOKUP("8.2",A2:S101,13,FALSE)),ROUND(VLOOKUP("8.2",A2:S101,13,FALSE),4),0)+IF(ISNUMBER(VLOOKUP("8.2",A2:S101,14,FALSE)),ROUND(VLOOKUP("8.2",A2:S101,14,FALSE),4),0)+IF(ISNUMBER(VLOOKUP("8.2",A2:S101,15,FALSE)),ROUND(VLOOKUP("8.2",A2:S101,15,FALSE),4),0)+IF(ISNUMBER(VLOOKUP("8.2",A2:S101,16,FALSE)),ROUND(VLOOKUP("8.2",A2:S101,16,FALSE),4),0))/7</f>
        <v>0.13617142857142861</v>
      </c>
      <c r="R63" s="14">
        <f>(IF(ISNUMBER(VLOOKUP("8.2",A2:S101,11,FALSE)),ROUND(VLOOKUP("8.2",A2:S101,11,FALSE),4),0)+IF(ISNUMBER(VLOOKUP("8.2",A2:S101,12,FALSE)),ROUND(VLOOKUP("8.2",A2:S101,12,FALSE),4),0)+IF(ISNUMBER(VLOOKUP("8.2",A2:S101,13,FALSE)),ROUND(VLOOKUP("8.2",A2:S101,13,FALSE),4),0)+IF(ISNUMBER(VLOOKUP("8.2",A2:S101,14,FALSE)),ROUND(VLOOKUP("8.2",A2:S101,14,FALSE),4),0)+IF(ISNUMBER(VLOOKUP("8.2",A2:S101,15,FALSE)),ROUND(VLOOKUP("8.2",A2:S101,15,FALSE),4),0)+IF(ISNUMBER(VLOOKUP("8.2",A2:S101,16,FALSE)),ROUND(VLOOKUP("8.2",A2:S101,16,FALSE),4),0)+IF(ISNUMBER(VLOOKUP("8.2",A2:S101,17,FALSE)),ROUND(VLOOKUP("8.2",A2:S101,17,FALSE),4),0))/7</f>
        <v>0.13850000000000004</v>
      </c>
      <c r="S63" s="14">
        <f>(IF(ISNUMBER(VLOOKUP("8.2",A2:S101,12,FALSE)),ROUND(VLOOKUP("8.2",A2:S101,12,FALSE),4),0)+IF(ISNUMBER(VLOOKUP("8.2",A2:S101,13,FALSE)),ROUND(VLOOKUP("8.2",A2:S101,13,FALSE),4),0)+IF(ISNUMBER(VLOOKUP("8.2",A2:S101,14,FALSE)),ROUND(VLOOKUP("8.2",A2:S101,14,FALSE),4),0)+IF(ISNUMBER(VLOOKUP("8.2",A2:S101,15,FALSE)),ROUND(VLOOKUP("8.2",A2:S101,15,FALSE),4),0)+IF(ISNUMBER(VLOOKUP("8.2",A2:S101,16,FALSE)),ROUND(VLOOKUP("8.2",A2:S101,16,FALSE),4),0)+IF(ISNUMBER(VLOOKUP("8.2",A2:S101,17,FALSE)),ROUND(VLOOKUP("8.2",A2:S101,17,FALSE),4),0)+IF(ISNUMBER(VLOOKUP("8.2",A2:S101,18,FALSE)),ROUND(VLOOKUP("8.2",A2:S101,18,FALSE),4),0))/7</f>
        <v>0.13850000000000004</v>
      </c>
    </row>
    <row r="64" spans="1:19" ht="78.599999999999994" customHeight="1" x14ac:dyDescent="0.25">
      <c r="A64" s="12" t="s">
        <v>137</v>
      </c>
      <c r="B64" s="13" t="s">
        <v>138</v>
      </c>
      <c r="C64" s="14">
        <f t="shared" si="0"/>
        <v>0.15</v>
      </c>
      <c r="D64" s="14">
        <f t="shared" si="0"/>
        <v>0.15</v>
      </c>
      <c r="E64" s="14">
        <f t="shared" si="0"/>
        <v>0.15</v>
      </c>
      <c r="F64" s="14">
        <f t="shared" si="0"/>
        <v>0.15</v>
      </c>
      <c r="G64" s="14">
        <f>(IF(ISNUMBER(VLOOKUP("8.2.x",A2:S101,3,FALSE)),ROUND(VLOOKUP("8.2.x",A2:S101,3,FALSE),4),0)+IF(ISNUMBER(VLOOKUP("8.2.x",A2:S101,4,FALSE)),ROUND(VLOOKUP("8.2.x",A2:S101,4,FALSE),4),0)+IF(ISNUMBER(VLOOKUP("8.2.x",A2:S101,6,FALSE)),ROUND(VLOOKUP("8.2.x",A2:S101,6,FALSE),4),0))/3</f>
        <v>0.11966666666666666</v>
      </c>
      <c r="H64" s="14">
        <f>(IF(ISNUMBER(VLOOKUP("8.2.x",A2:S101,4,FALSE)),ROUND(VLOOKUP("8.2.x",A2:S101,4,FALSE),4),0)+IF(ISNUMBER(VLOOKUP("8.2.x",A2:S101,6,FALSE)),ROUND(VLOOKUP("8.2.x",A2:S101,6,FALSE),4),0)+IF(ISNUMBER(VLOOKUP("8.2.x",A2:S101,7,FALSE)),ROUND(VLOOKUP("8.2.x",A2:S101,7,FALSE),4),0))/3</f>
        <v>0.11549999999999999</v>
      </c>
      <c r="I64" s="14">
        <f>(IF(ISNUMBER(VLOOKUP("8.2.x",A2:S101,6,FALSE)),ROUND(VLOOKUP("8.2.x",A2:S101,6,FALSE),4),0)+IF(ISNUMBER(VLOOKUP("8.2.x",A2:S101,7,FALSE)),ROUND(VLOOKUP("8.2.x",A2:S101,7,FALSE),4),0)+IF(ISNUMBER(VLOOKUP("8.2.x",A2:S101,8,FALSE)),ROUND(VLOOKUP("8.2.x",A2:S101,8,FALSE),4),0))/3</f>
        <v>0.10483333333333333</v>
      </c>
      <c r="J64" s="14">
        <f>(IF(ISNUMBER(VLOOKUP("8.2.x",A2:S101,7,FALSE)),ROUND(VLOOKUP("8.2.x",A2:S101,7,FALSE),4),0)+IF(ISNUMBER(VLOOKUP("8.2.x",A2:S101,8,FALSE)),ROUND(VLOOKUP("8.2.x",A2:S101,8,FALSE),4),0)+IF(ISNUMBER(VLOOKUP("8.2.x",A2:S101,9,FALSE)),ROUND(VLOOKUP("8.2.x",A2:S101,9,FALSE),4),0))/3</f>
        <v>0.11146666666666666</v>
      </c>
      <c r="K64" s="14">
        <f>(IF(ISNUMBER(VLOOKUP("8.2.x",A2:S101,8,FALSE)),ROUND(VLOOKUP("8.2.x",A2:S101,8,FALSE),4),0)+IF(ISNUMBER(VLOOKUP("8.2.x",A2:S101,9,FALSE)),ROUND(VLOOKUP("8.2.x",A2:S101,9,FALSE),4),0)+IF(ISNUMBER(VLOOKUP("8.2.x",A2:S101,10,FALSE)),ROUND(VLOOKUP("8.2.x",A2:S101,10,FALSE),4),0))/3</f>
        <v>0.12096666666666667</v>
      </c>
      <c r="L64" s="14">
        <f>(IF(ISNUMBER(VLOOKUP("8.2",A2:S101,4,FALSE)),ROUND(VLOOKUP("8.2",A2:S101,4,FALSE),4),0)+IF(ISNUMBER(VLOOKUP("8.2",A2:S101,6,FALSE)),ROUND(VLOOKUP("8.2",A2:S101,6,FALSE),4),0)+IF(ISNUMBER(VLOOKUP("8.2",A2:S101,7,FALSE)),ROUND(VLOOKUP("8.2",A2:S101,7,FALSE),4),0)+IF(ISNUMBER(VLOOKUP("8.2",A2:S101,8,FALSE)),ROUND(VLOOKUP("8.2",A2:S101,8,FALSE),4),0)+IF(ISNUMBER(VLOOKUP("8.2",A2:S101,9,FALSE)),ROUND(VLOOKUP("8.2",A2:S101,9,FALSE),4),0)+IF(ISNUMBER(VLOOKUP("8.2",A2:S101,10,FALSE)),ROUND(VLOOKUP("8.2",A2:S101,10,FALSE),4),0)+IF(ISNUMBER(VLOOKUP("8.2",A2:S101,11,FALSE)),ROUND(VLOOKUP("8.2",A2:S101,11,FALSE),4),0))/7</f>
        <v>0.10134285714285715</v>
      </c>
      <c r="M64" s="14">
        <f>(IF(ISNUMBER(VLOOKUP("8.2",A2:S101,6,FALSE)),ROUND(VLOOKUP("8.2",A2:S101,6,FALSE),4),0)+IF(ISNUMBER(VLOOKUP("8.2",A2:S101,7,FALSE)),ROUND(VLOOKUP("8.2",A2:S101,7,FALSE),4),0)+IF(ISNUMBER(VLOOKUP("8.2",A2:S101,8,FALSE)),ROUND(VLOOKUP("8.2",A2:S101,8,FALSE),4),0)+IF(ISNUMBER(VLOOKUP("8.2",A2:S101,9,FALSE)),ROUND(VLOOKUP("8.2",A2:S101,9,FALSE),4),0)+IF(ISNUMBER(VLOOKUP("8.2",A2:S101,10,FALSE)),ROUND(VLOOKUP("8.2",A2:S101,10,FALSE),4),0)+IF(ISNUMBER(VLOOKUP("8.2",A2:S101,11,FALSE)),ROUND(VLOOKUP("8.2",A2:S101,11,FALSE),4),0)+IF(ISNUMBER(VLOOKUP("8.2",A2:S101,12,FALSE)),ROUND(VLOOKUP("8.2",A2:S101,12,FALSE),4),0))/7</f>
        <v>0.10695714285714288</v>
      </c>
      <c r="N64" s="14">
        <f>(IF(ISNUMBER(VLOOKUP("8.2",A2:S101,7,FALSE)),ROUND(VLOOKUP("8.2",A2:S101,7,FALSE),4),0)+IF(ISNUMBER(VLOOKUP("8.2",A2:S101,8,FALSE)),ROUND(VLOOKUP("8.2",A2:S101,8,FALSE),4),0)+IF(ISNUMBER(VLOOKUP("8.2",A2:S101,9,FALSE)),ROUND(VLOOKUP("8.2",A2:S101,9,FALSE),4),0)+IF(ISNUMBER(VLOOKUP("8.2",A2:S101,10,FALSE)),ROUND(VLOOKUP("8.2",A2:S101,10,FALSE),4),0)+IF(ISNUMBER(VLOOKUP("8.2",A2:S101,11,FALSE)),ROUND(VLOOKUP("8.2",A2:S101,11,FALSE),4),0)+IF(ISNUMBER(VLOOKUP("8.2",A2:S101,12,FALSE)),ROUND(VLOOKUP("8.2",A2:S101,12,FALSE),4),0)+IF(ISNUMBER(VLOOKUP("8.2",A2:S101,13,FALSE)),ROUND(VLOOKUP("8.2",A2:S101,13,FALSE),4),0))/7</f>
        <v>0.11494285714285717</v>
      </c>
      <c r="O64" s="14">
        <f>(IF(ISNUMBER(VLOOKUP("8.2",A2:S101,8,FALSE)),ROUND(VLOOKUP("8.2",A2:S101,8,FALSE),4),0)+IF(ISNUMBER(VLOOKUP("8.2",A2:S101,9,FALSE)),ROUND(VLOOKUP("8.2",A2:S101,9,FALSE),4),0)+IF(ISNUMBER(VLOOKUP("8.2",A2:S101,10,FALSE)),ROUND(VLOOKUP("8.2",A2:S101,10,FALSE),4),0)+IF(ISNUMBER(VLOOKUP("8.2",A2:S101,11,FALSE)),ROUND(VLOOKUP("8.2",A2:S101,11,FALSE),4),0)+IF(ISNUMBER(VLOOKUP("8.2",A2:S101,12,FALSE)),ROUND(VLOOKUP("8.2",A2:S101,12,FALSE),4),0)+IF(ISNUMBER(VLOOKUP("8.2",A2:S101,13,FALSE)),ROUND(VLOOKUP("8.2",A2:S101,13,FALSE),4),0)+IF(ISNUMBER(VLOOKUP("8.2",A2:S101,14,FALSE)),ROUND(VLOOKUP("8.2",A2:S101,14,FALSE),4),0))/7</f>
        <v>0.12488571428571429</v>
      </c>
      <c r="P64" s="14">
        <f>(IF(ISNUMBER(VLOOKUP("8.2",A2:S101,9,FALSE)),ROUND(VLOOKUP("8.2",A2:S101,9,FALSE),4),0)+IF(ISNUMBER(VLOOKUP("8.2",A2:S101,10,FALSE)),ROUND(VLOOKUP("8.2",A2:S101,10,FALSE),4),0)+IF(ISNUMBER(VLOOKUP("8.2",A2:S101,11,FALSE)),ROUND(VLOOKUP("8.2",A2:S101,11,FALSE),4),0)+IF(ISNUMBER(VLOOKUP("8.2",A2:S101,12,FALSE)),ROUND(VLOOKUP("8.2",A2:S101,12,FALSE),4),0)+IF(ISNUMBER(VLOOKUP("8.2",A2:S101,13,FALSE)),ROUND(VLOOKUP("8.2",A2:S101,13,FALSE),4),0)+IF(ISNUMBER(VLOOKUP("8.2",A2:S101,14,FALSE)),ROUND(VLOOKUP("8.2",A2:S101,14,FALSE),4),0)+IF(ISNUMBER(VLOOKUP("8.2",A2:S101,15,FALSE)),ROUND(VLOOKUP("8.2",A2:S101,15,FALSE),4),0))/7</f>
        <v>0.13158571428571433</v>
      </c>
      <c r="Q64" s="14">
        <f>(IF(ISNUMBER(VLOOKUP("8.2",A2:S101,10,FALSE)),ROUND(VLOOKUP("8.2",A2:S101,10,FALSE),4),0)+IF(ISNUMBER(VLOOKUP("8.2",A2:S101,11,FALSE)),ROUND(VLOOKUP("8.2",A2:S101,11,FALSE),4),0)+IF(ISNUMBER(VLOOKUP("8.2",A2:S101,12,FALSE)),ROUND(VLOOKUP("8.2",A2:S101,12,FALSE),4),0)+IF(ISNUMBER(VLOOKUP("8.2",A2:S101,13,FALSE)),ROUND(VLOOKUP("8.2",A2:S101,13,FALSE),4),0)+IF(ISNUMBER(VLOOKUP("8.2",A2:S101,14,FALSE)),ROUND(VLOOKUP("8.2",A2:S101,14,FALSE),4),0)+IF(ISNUMBER(VLOOKUP("8.2",A2:S101,15,FALSE)),ROUND(VLOOKUP("8.2",A2:S101,15,FALSE),4),0)+IF(ISNUMBER(VLOOKUP("8.2",A2:S101,16,FALSE)),ROUND(VLOOKUP("8.2",A2:S101,16,FALSE),4),0))/7</f>
        <v>0.13617142857142861</v>
      </c>
      <c r="R64" s="14">
        <f>(IF(ISNUMBER(VLOOKUP("8.2",A2:S101,11,FALSE)),ROUND(VLOOKUP("8.2",A2:S101,11,FALSE),4),0)+IF(ISNUMBER(VLOOKUP("8.2",A2:S101,12,FALSE)),ROUND(VLOOKUP("8.2",A2:S101,12,FALSE),4),0)+IF(ISNUMBER(VLOOKUP("8.2",A2:S101,13,FALSE)),ROUND(VLOOKUP("8.2",A2:S101,13,FALSE),4),0)+IF(ISNUMBER(VLOOKUP("8.2",A2:S101,14,FALSE)),ROUND(VLOOKUP("8.2",A2:S101,14,FALSE),4),0)+IF(ISNUMBER(VLOOKUP("8.2",A2:S101,15,FALSE)),ROUND(VLOOKUP("8.2",A2:S101,15,FALSE),4),0)+IF(ISNUMBER(VLOOKUP("8.2",A2:S101,16,FALSE)),ROUND(VLOOKUP("8.2",A2:S101,16,FALSE),4),0)+IF(ISNUMBER(VLOOKUP("8.2",A2:S101,17,FALSE)),ROUND(VLOOKUP("8.2",A2:S101,17,FALSE),4),0))/7</f>
        <v>0.13850000000000004</v>
      </c>
      <c r="S64" s="14">
        <f>(IF(ISNUMBER(VLOOKUP("8.2",A2:S101,12,FALSE)),ROUND(VLOOKUP("8.2",A2:S101,12,FALSE),4),0)+IF(ISNUMBER(VLOOKUP("8.2",A2:S101,13,FALSE)),ROUND(VLOOKUP("8.2",A2:S101,13,FALSE),4),0)+IF(ISNUMBER(VLOOKUP("8.2",A2:S101,14,FALSE)),ROUND(VLOOKUP("8.2",A2:S101,14,FALSE),4),0)+IF(ISNUMBER(VLOOKUP("8.2",A2:S101,15,FALSE)),ROUND(VLOOKUP("8.2",A2:S101,15,FALSE),4),0)+IF(ISNUMBER(VLOOKUP("8.2",A2:S101,16,FALSE)),ROUND(VLOOKUP("8.2",A2:S101,16,FALSE),4),0)+IF(ISNUMBER(VLOOKUP("8.2",A2:S101,17,FALSE)),ROUND(VLOOKUP("8.2",A2:S101,17,FALSE),4),0)+IF(ISNUMBER(VLOOKUP("8.2",A2:S101,18,FALSE)),ROUND(VLOOKUP("8.2",A2:S101,18,FALSE),4),0))/7</f>
        <v>0.13850000000000004</v>
      </c>
    </row>
    <row r="65" spans="1:19" ht="78.599999999999994" customHeight="1" x14ac:dyDescent="0.25">
      <c r="A65" s="2" t="s">
        <v>139</v>
      </c>
      <c r="B65" s="3" t="s">
        <v>140</v>
      </c>
      <c r="C65" s="15" t="str">
        <f>IF(IF(ISNUMBER(VLOOKUP("8.1",A2:S101,3,FALSE)),ROUND(VLOOKUP("8.1",A2:S101,3,FALSE),4),0) - IF(ISNUMBER(VLOOKUP("8.3",A2:S101,3,FALSE)),ROUND(VLOOKUP("8.3",A2:S101,3,FALSE),4),0) &lt;= 0, "Tak", "Nie")</f>
        <v>Tak</v>
      </c>
      <c r="D65" s="15" t="str">
        <f>IF(IF(ISNUMBER(VLOOKUP("8.1",A2:S101,4,FALSE)),ROUND(VLOOKUP("8.1",A2:S101,4,FALSE),4),0) - IF(ISNUMBER(VLOOKUP("8.3",A2:S101,4,FALSE)),ROUND(VLOOKUP("8.3",A2:S101,4,FALSE),4),0) &lt;= 0, "Tak", "Nie")</f>
        <v>Tak</v>
      </c>
      <c r="E65" s="15" t="str">
        <f>IF(IF(ISNUMBER(VLOOKUP("8.1",A2:S101,5,FALSE)),ROUND(VLOOKUP("8.1",A2:S101,5,FALSE),4),0) - IF(ISNUMBER(VLOOKUP("8.3",A2:S101,5,FALSE)),ROUND(VLOOKUP("8.3",A2:S101,5,FALSE),4),0) &lt;= 0, "Tak", "Nie")</f>
        <v>Tak</v>
      </c>
      <c r="F65" s="15" t="str">
        <f>IF(IF(ISNUMBER(VLOOKUP("8.1",A2:S101,6,FALSE)),ROUND(VLOOKUP("8.1",A2:S101,6,FALSE),4),0) - IF(ISNUMBER(VLOOKUP("8.3",A2:S101,6,FALSE)),ROUND(VLOOKUP("8.3",A2:S101,6,FALSE),4),0) &lt;= 0, "Tak", "Nie")</f>
        <v>Tak</v>
      </c>
      <c r="G65" s="15" t="str">
        <f>IF(IF(ISNUMBER(VLOOKUP("8.1",A2:S101,7,FALSE)),ROUND(VLOOKUP("8.1",A2:S101,7,FALSE),4),0) - IF(ISNUMBER(VLOOKUP("8.3",A2:S101,7,FALSE)),ROUND(VLOOKUP("8.3",A2:S101,7,FALSE),4),0) &lt;= 0, "Tak", "Nie")</f>
        <v>Tak</v>
      </c>
      <c r="H65" s="15" t="str">
        <f>IF(IF(ISNUMBER(VLOOKUP("8.1",A2:S101,8,FALSE)),ROUND(VLOOKUP("8.1",A2:S101,8,FALSE),4),0) - IF(ISNUMBER(VLOOKUP("8.3",A2:S101,8,FALSE)),ROUND(VLOOKUP("8.3",A2:S101,8,FALSE),4),0) &lt;= 0, "Tak", "Nie")</f>
        <v>Tak</v>
      </c>
      <c r="I65" s="15" t="str">
        <f>IF(IF(ISNUMBER(VLOOKUP("8.1",A2:S101,9,FALSE)),ROUND(VLOOKUP("8.1",A2:S101,9,FALSE),4),0) - IF(ISNUMBER(VLOOKUP("8.3",A2:S101,9,FALSE)),ROUND(VLOOKUP("8.3",A2:S101,9,FALSE),4),0) &lt;= 0, "Tak", "Nie")</f>
        <v>Tak</v>
      </c>
      <c r="J65" s="15" t="str">
        <f>IF(IF(ISNUMBER(VLOOKUP("8.1",A2:S101,10,FALSE)),ROUND(VLOOKUP("8.1",A2:S101,10,FALSE),4),0) - IF(ISNUMBER(VLOOKUP("8.3",A2:S101,10,FALSE)),ROUND(VLOOKUP("8.3",A2:S101,10,FALSE),4),0) &lt;= 0, "Tak", "Nie")</f>
        <v>Tak</v>
      </c>
      <c r="K65" s="15" t="str">
        <f>IF(IF(ISNUMBER(VLOOKUP("8.1",A2:S101,11,FALSE)),ROUND(VLOOKUP("8.1",A2:S101,11,FALSE),4),0) - IF(ISNUMBER(VLOOKUP("8.3",A2:S101,11,FALSE)),ROUND(VLOOKUP("8.3",A2:S101,11,FALSE),4),0) &lt;= 0, "Tak", "Nie")</f>
        <v>Tak</v>
      </c>
      <c r="L65" s="15" t="str">
        <f>IF(IF(ISNUMBER(VLOOKUP("8.1",A2:S101,12,FALSE)),ROUND(VLOOKUP("8.1",A2:S101,12,FALSE),4),0) - IF(ISNUMBER(VLOOKUP("8.3",A2:S101,12,FALSE)),ROUND(VLOOKUP("8.3",A2:S101,12,FALSE),4),0) &lt;= 0, "Tak", "Nie")</f>
        <v>Tak</v>
      </c>
      <c r="M65" s="15" t="str">
        <f>IF(IF(ISNUMBER(VLOOKUP("8.1",A2:S101,13,FALSE)),ROUND(VLOOKUP("8.1",A2:S101,13,FALSE),4),0) - IF(ISNUMBER(VLOOKUP("8.3",A2:S101,13,FALSE)),ROUND(VLOOKUP("8.3",A2:S101,13,FALSE),4),0) &lt;= 0, "Tak", "Nie")</f>
        <v>Tak</v>
      </c>
      <c r="N65" s="15" t="str">
        <f>IF(IF(ISNUMBER(VLOOKUP("8.1",A2:S101,14,FALSE)),ROUND(VLOOKUP("8.1",A2:S101,14,FALSE),4),0) - IF(ISNUMBER(VLOOKUP("8.3",A2:S101,14,FALSE)),ROUND(VLOOKUP("8.3",A2:S101,14,FALSE),4),0) &lt;= 0, "Tak", "Nie")</f>
        <v>Tak</v>
      </c>
      <c r="O65" s="15" t="str">
        <f>IF(IF(ISNUMBER(VLOOKUP("8.1",A2:S101,15,FALSE)),ROUND(VLOOKUP("8.1",A2:S101,15,FALSE),4),0) - IF(ISNUMBER(VLOOKUP("8.3",A2:S101,15,FALSE)),ROUND(VLOOKUP("8.3",A2:S101,15,FALSE),4),0) &lt;= 0, "Tak", "Nie")</f>
        <v>Tak</v>
      </c>
      <c r="P65" s="15" t="str">
        <f>IF(IF(ISNUMBER(VLOOKUP("8.1",A2:S101,16,FALSE)),ROUND(VLOOKUP("8.1",A2:S101,16,FALSE),4),0) - IF(ISNUMBER(VLOOKUP("8.3",A2:S101,16,FALSE)),ROUND(VLOOKUP("8.3",A2:S101,16,FALSE),4),0) &lt;= 0, "Tak", "Nie")</f>
        <v>Tak</v>
      </c>
      <c r="Q65" s="15" t="str">
        <f>IF(IF(ISNUMBER(VLOOKUP("8.1",A2:S101,17,FALSE)),ROUND(VLOOKUP("8.1",A2:S101,17,FALSE),4),0) - IF(ISNUMBER(VLOOKUP("8.3",A2:S101,17,FALSE)),ROUND(VLOOKUP("8.3",A2:S101,17,FALSE),4),0) &lt;= 0, "Tak", "Nie")</f>
        <v>Tak</v>
      </c>
      <c r="R65" s="15" t="str">
        <f>IF(IF(ISNUMBER(VLOOKUP("8.1",A2:S101,18,FALSE)),ROUND(VLOOKUP("8.1",A2:S101,18,FALSE),4),0) - IF(ISNUMBER(VLOOKUP("8.3",A2:S101,18,FALSE)),ROUND(VLOOKUP("8.3",A2:S101,18,FALSE),4),0) &lt;= 0, "Tak", "Nie")</f>
        <v>Tak</v>
      </c>
      <c r="S65" s="15" t="str">
        <f>IF(IF(ISNUMBER(VLOOKUP("8.1",A2:S101,19,FALSE)),ROUND(VLOOKUP("8.1",A2:S101,19,FALSE),4),0) - IF(ISNUMBER(VLOOKUP("8.3",A2:S101,19,FALSE)),ROUND(VLOOKUP("8.3",A2:S101,19,FALSE),4),0) &lt;= 0, "Tak", "Nie")</f>
        <v>Tak</v>
      </c>
    </row>
    <row r="66" spans="1:19" ht="78.599999999999994" customHeight="1" x14ac:dyDescent="0.25">
      <c r="A66" s="5" t="s">
        <v>141</v>
      </c>
      <c r="B66" s="6" t="s">
        <v>142</v>
      </c>
      <c r="C66" s="16" t="str">
        <f>IF(IF(ISNUMBER(VLOOKUP("8.1",A2:S101,3,FALSE)),ROUND(VLOOKUP("8.1",A2:S101,3,FALSE),4),0) - IF(ISNUMBER(VLOOKUP("8.3.1",A2:S101,3,FALSE)),ROUND(VLOOKUP("8.3.1",A2:S101,3,FALSE),4),0) &lt;= 0, "Tak", "Nie")</f>
        <v>Tak</v>
      </c>
      <c r="D66" s="16" t="str">
        <f>IF(IF(ISNUMBER(VLOOKUP("8.1",A2:S101,4,FALSE)),ROUND(VLOOKUP("8.1",A2:S101,4,FALSE),4),0) - IF(ISNUMBER(VLOOKUP("8.3.1",A2:S101,4,FALSE)),ROUND(VLOOKUP("8.3.1",A2:S101,4,FALSE),4),0) &lt;= 0, "Tak", "Nie")</f>
        <v>Tak</v>
      </c>
      <c r="E66" s="16" t="str">
        <f>IF(IF(ISNUMBER(VLOOKUP("8.1",A2:S101,5,FALSE)),ROUND(VLOOKUP("8.1",A2:S101,5,FALSE),4),0) - IF(ISNUMBER(VLOOKUP("8.3.1",A2:S101,5,FALSE)),ROUND(VLOOKUP("8.3.1",A2:S101,5,FALSE),4),0) &lt;= 0, "Tak", "Nie")</f>
        <v>Tak</v>
      </c>
      <c r="F66" s="16" t="str">
        <f>IF(IF(ISNUMBER(VLOOKUP("8.1",A2:S101,6,FALSE)),ROUND(VLOOKUP("8.1",A2:S101,6,FALSE),4),0) - IF(ISNUMBER(VLOOKUP("8.3.1",A2:S101,6,FALSE)),ROUND(VLOOKUP("8.3.1",A2:S101,6,FALSE),4),0) &lt;= 0, "Tak", "Nie")</f>
        <v>Tak</v>
      </c>
      <c r="G66" s="16" t="str">
        <f>IF(IF(ISNUMBER(VLOOKUP("8.1",A2:S101,7,FALSE)),ROUND(VLOOKUP("8.1",A2:S101,7,FALSE),4),0) - IF(ISNUMBER(VLOOKUP("8.3.1",A2:S101,7,FALSE)),ROUND(VLOOKUP("8.3.1",A2:S101,7,FALSE),4),0) &lt;= 0, "Tak", "Nie")</f>
        <v>Tak</v>
      </c>
      <c r="H66" s="16" t="str">
        <f>IF(IF(ISNUMBER(VLOOKUP("8.1",A2:S101,8,FALSE)),ROUND(VLOOKUP("8.1",A2:S101,8,FALSE),4),0) - IF(ISNUMBER(VLOOKUP("8.3.1",A2:S101,8,FALSE)),ROUND(VLOOKUP("8.3.1",A2:S101,8,FALSE),4),0) &lt;= 0, "Tak", "Nie")</f>
        <v>Tak</v>
      </c>
      <c r="I66" s="16" t="str">
        <f>IF(IF(ISNUMBER(VLOOKUP("8.1",A2:S101,9,FALSE)),ROUND(VLOOKUP("8.1",A2:S101,9,FALSE),4),0) - IF(ISNUMBER(VLOOKUP("8.3.1",A2:S101,9,FALSE)),ROUND(VLOOKUP("8.3.1",A2:S101,9,FALSE),4),0) &lt;= 0, "Tak", "Nie")</f>
        <v>Tak</v>
      </c>
      <c r="J66" s="16" t="str">
        <f>IF(IF(ISNUMBER(VLOOKUP("8.1",A2:S101,10,FALSE)),ROUND(VLOOKUP("8.1",A2:S101,10,FALSE),4),0) - IF(ISNUMBER(VLOOKUP("8.3.1",A2:S101,10,FALSE)),ROUND(VLOOKUP("8.3.1",A2:S101,10,FALSE),4),0) &lt;= 0, "Tak", "Nie")</f>
        <v>Tak</v>
      </c>
      <c r="K66" s="16" t="str">
        <f>IF(IF(ISNUMBER(VLOOKUP("8.1",A2:S101,11,FALSE)),ROUND(VLOOKUP("8.1",A2:S101,11,FALSE),4),0) - IF(ISNUMBER(VLOOKUP("8.3.1",A2:S101,11,FALSE)),ROUND(VLOOKUP("8.3.1",A2:S101,11,FALSE),4),0) &lt;= 0, "Tak", "Nie")</f>
        <v>Tak</v>
      </c>
      <c r="L66" s="16" t="str">
        <f>IF(IF(ISNUMBER(VLOOKUP("8.1",A2:S101,12,FALSE)),ROUND(VLOOKUP("8.1",A2:S101,12,FALSE),4),0) - IF(ISNUMBER(VLOOKUP("8.3.1",A2:S101,12,FALSE)),ROUND(VLOOKUP("8.3.1",A2:S101,12,FALSE),4),0) &lt;= 0, "Tak", "Nie")</f>
        <v>Tak</v>
      </c>
      <c r="M66" s="16" t="str">
        <f>IF(IF(ISNUMBER(VLOOKUP("8.1",A2:S101,13,FALSE)),ROUND(VLOOKUP("8.1",A2:S101,13,FALSE),4),0) - IF(ISNUMBER(VLOOKUP("8.3.1",A2:S101,13,FALSE)),ROUND(VLOOKUP("8.3.1",A2:S101,13,FALSE),4),0) &lt;= 0, "Tak", "Nie")</f>
        <v>Tak</v>
      </c>
      <c r="N66" s="16" t="str">
        <f>IF(IF(ISNUMBER(VLOOKUP("8.1",A2:S101,14,FALSE)),ROUND(VLOOKUP("8.1",A2:S101,14,FALSE),4),0) - IF(ISNUMBER(VLOOKUP("8.3.1",A2:S101,14,FALSE)),ROUND(VLOOKUP("8.3.1",A2:S101,14,FALSE),4),0) &lt;= 0, "Tak", "Nie")</f>
        <v>Tak</v>
      </c>
      <c r="O66" s="16" t="str">
        <f>IF(IF(ISNUMBER(VLOOKUP("8.1",A2:S101,15,FALSE)),ROUND(VLOOKUP("8.1",A2:S101,15,FALSE),4),0) - IF(ISNUMBER(VLOOKUP("8.3.1",A2:S101,15,FALSE)),ROUND(VLOOKUP("8.3.1",A2:S101,15,FALSE),4),0) &lt;= 0, "Tak", "Nie")</f>
        <v>Tak</v>
      </c>
      <c r="P66" s="16" t="str">
        <f>IF(IF(ISNUMBER(VLOOKUP("8.1",A2:S101,16,FALSE)),ROUND(VLOOKUP("8.1",A2:S101,16,FALSE),4),0) - IF(ISNUMBER(VLOOKUP("8.3.1",A2:S101,16,FALSE)),ROUND(VLOOKUP("8.3.1",A2:S101,16,FALSE),4),0) &lt;= 0, "Tak", "Nie")</f>
        <v>Tak</v>
      </c>
      <c r="Q66" s="16" t="str">
        <f>IF(IF(ISNUMBER(VLOOKUP("8.1",A2:S101,17,FALSE)),ROUND(VLOOKUP("8.1",A2:S101,17,FALSE),4),0) - IF(ISNUMBER(VLOOKUP("8.3.1",A2:S101,17,FALSE)),ROUND(VLOOKUP("8.3.1",A2:S101,17,FALSE),4),0) &lt;= 0, "Tak", "Nie")</f>
        <v>Tak</v>
      </c>
      <c r="R66" s="16" t="str">
        <f>IF(IF(ISNUMBER(VLOOKUP("8.1",A2:S101,18,FALSE)),ROUND(VLOOKUP("8.1",A2:S101,18,FALSE),4),0) - IF(ISNUMBER(VLOOKUP("8.3.1",A2:S101,18,FALSE)),ROUND(VLOOKUP("8.3.1",A2:S101,18,FALSE),4),0) &lt;= 0, "Tak", "Nie")</f>
        <v>Tak</v>
      </c>
      <c r="S66" s="16" t="str">
        <f>IF(IF(ISNUMBER(VLOOKUP("8.1",A2:S101,19,FALSE)),ROUND(VLOOKUP("8.1",A2:S101,19,FALSE),4),0) - IF(ISNUMBER(VLOOKUP("8.3.1",A2:S101,19,FALSE)),ROUND(VLOOKUP("8.3.1",A2:S101,19,FALSE),4),0) &lt;= 0, "Tak", "Nie")</f>
        <v>Tak</v>
      </c>
    </row>
    <row r="67" spans="1:19" ht="39.950000000000003" customHeight="1" x14ac:dyDescent="0.25">
      <c r="A67" s="2" t="s">
        <v>143</v>
      </c>
      <c r="B67" s="3" t="s">
        <v>144</v>
      </c>
      <c r="C67" s="20" t="s">
        <v>108</v>
      </c>
      <c r="D67" s="20" t="s">
        <v>108</v>
      </c>
      <c r="E67" s="20" t="s">
        <v>108</v>
      </c>
      <c r="F67" s="20" t="s">
        <v>108</v>
      </c>
      <c r="G67" s="20" t="s">
        <v>108</v>
      </c>
      <c r="H67" s="20" t="s">
        <v>108</v>
      </c>
      <c r="I67" s="20" t="s">
        <v>108</v>
      </c>
      <c r="J67" s="20" t="s">
        <v>108</v>
      </c>
      <c r="K67" s="20" t="s">
        <v>108</v>
      </c>
      <c r="L67" s="20" t="s">
        <v>108</v>
      </c>
      <c r="M67" s="20" t="s">
        <v>108</v>
      </c>
      <c r="N67" s="20" t="s">
        <v>108</v>
      </c>
      <c r="O67" s="20" t="s">
        <v>108</v>
      </c>
      <c r="P67" s="20" t="s">
        <v>108</v>
      </c>
      <c r="Q67" s="20" t="s">
        <v>108</v>
      </c>
      <c r="R67" s="20" t="s">
        <v>108</v>
      </c>
      <c r="S67" s="20" t="s">
        <v>108</v>
      </c>
    </row>
    <row r="68" spans="1:19" ht="39.950000000000003" customHeight="1" x14ac:dyDescent="0.25">
      <c r="A68" s="5" t="s">
        <v>145</v>
      </c>
      <c r="B68" s="6" t="s">
        <v>146</v>
      </c>
      <c r="C68" s="7">
        <v>465167.2</v>
      </c>
      <c r="D68" s="7">
        <v>601268.06000000006</v>
      </c>
      <c r="E68" s="7">
        <v>1463191.61</v>
      </c>
      <c r="F68" s="7">
        <v>1463191.61</v>
      </c>
      <c r="G68" s="8">
        <v>218401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</row>
    <row r="69" spans="1:19" ht="52.9" customHeight="1" x14ac:dyDescent="0.25">
      <c r="A69" s="5" t="s">
        <v>147</v>
      </c>
      <c r="B69" s="6" t="s">
        <v>148</v>
      </c>
      <c r="C69" s="7">
        <v>465167.2</v>
      </c>
      <c r="D69" s="7">
        <v>601268.06000000006</v>
      </c>
      <c r="E69" s="7">
        <v>1463191.61</v>
      </c>
      <c r="F69" s="7">
        <v>1463191.61</v>
      </c>
      <c r="G69" s="8">
        <v>218401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</row>
    <row r="70" spans="1:19" ht="14.25" customHeight="1" x14ac:dyDescent="0.25">
      <c r="A70" s="5" t="s">
        <v>149</v>
      </c>
      <c r="B70" s="6" t="s">
        <v>150</v>
      </c>
      <c r="C70" s="7">
        <v>465167.2</v>
      </c>
      <c r="D70" s="7">
        <v>551268.06000000006</v>
      </c>
      <c r="E70" s="7">
        <v>1320542.71</v>
      </c>
      <c r="F70" s="7">
        <v>1320542.71</v>
      </c>
      <c r="G70" s="8">
        <v>218401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</row>
    <row r="71" spans="1:19" ht="39.950000000000003" customHeight="1" x14ac:dyDescent="0.25">
      <c r="A71" s="5" t="s">
        <v>151</v>
      </c>
      <c r="B71" s="6" t="s">
        <v>152</v>
      </c>
      <c r="C71" s="7">
        <v>4453300.16</v>
      </c>
      <c r="D71" s="7">
        <v>597351.54</v>
      </c>
      <c r="E71" s="7">
        <v>2216033.7799999998</v>
      </c>
      <c r="F71" s="7">
        <v>2216033.7799999998</v>
      </c>
      <c r="G71" s="8">
        <v>1700000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</row>
    <row r="72" spans="1:19" ht="39.950000000000003" customHeight="1" x14ac:dyDescent="0.25">
      <c r="A72" s="5" t="s">
        <v>153</v>
      </c>
      <c r="B72" s="6" t="s">
        <v>154</v>
      </c>
      <c r="C72" s="7">
        <v>4453300.16</v>
      </c>
      <c r="D72" s="7">
        <v>597351.54</v>
      </c>
      <c r="E72" s="7">
        <v>2216033.7799999998</v>
      </c>
      <c r="F72" s="7">
        <v>2216033.7799999998</v>
      </c>
      <c r="G72" s="8">
        <v>1700000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</row>
    <row r="73" spans="1:19" ht="14.25" customHeight="1" x14ac:dyDescent="0.25">
      <c r="A73" s="5" t="s">
        <v>155</v>
      </c>
      <c r="B73" s="6" t="s">
        <v>150</v>
      </c>
      <c r="C73" s="7">
        <v>4293805.5999999996</v>
      </c>
      <c r="D73" s="7">
        <v>529665.13</v>
      </c>
      <c r="E73" s="7">
        <v>2090616.9</v>
      </c>
      <c r="F73" s="7">
        <v>2090616.9</v>
      </c>
      <c r="G73" s="8">
        <v>1445000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</row>
    <row r="74" spans="1:19" ht="39.950000000000003" customHeight="1" x14ac:dyDescent="0.25">
      <c r="A74" s="5" t="s">
        <v>156</v>
      </c>
      <c r="B74" s="6" t="s">
        <v>157</v>
      </c>
      <c r="C74" s="7">
        <v>587994.6</v>
      </c>
      <c r="D74" s="7">
        <v>477400.19</v>
      </c>
      <c r="E74" s="7">
        <v>1669486.36</v>
      </c>
      <c r="F74" s="7">
        <v>1669486.36</v>
      </c>
      <c r="G74" s="8">
        <v>388640</v>
      </c>
      <c r="H74" s="8">
        <v>132169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</row>
    <row r="75" spans="1:19" ht="39.950000000000003" customHeight="1" x14ac:dyDescent="0.25">
      <c r="A75" s="5" t="s">
        <v>158</v>
      </c>
      <c r="B75" s="6" t="s">
        <v>159</v>
      </c>
      <c r="C75" s="7">
        <v>587994.6</v>
      </c>
      <c r="D75" s="7">
        <v>477400.19</v>
      </c>
      <c r="E75" s="7">
        <v>1669486.36</v>
      </c>
      <c r="F75" s="7">
        <v>1669486.36</v>
      </c>
      <c r="G75" s="8">
        <v>388640</v>
      </c>
      <c r="H75" s="8">
        <v>132169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</row>
    <row r="76" spans="1:19" ht="27" customHeight="1" x14ac:dyDescent="0.25">
      <c r="A76" s="5" t="s">
        <v>160</v>
      </c>
      <c r="B76" s="6" t="s">
        <v>161</v>
      </c>
      <c r="C76" s="7">
        <v>501443.63</v>
      </c>
      <c r="D76" s="7">
        <v>427400.19</v>
      </c>
      <c r="E76" s="7">
        <v>1457460.74</v>
      </c>
      <c r="F76" s="7">
        <v>1457460.74</v>
      </c>
      <c r="G76" s="8">
        <v>346401</v>
      </c>
      <c r="H76" s="8">
        <v>112343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</row>
    <row r="77" spans="1:19" ht="39.950000000000003" customHeight="1" x14ac:dyDescent="0.25">
      <c r="A77" s="5" t="s">
        <v>162</v>
      </c>
      <c r="B77" s="6" t="s">
        <v>163</v>
      </c>
      <c r="C77" s="7">
        <v>6045562.3200000003</v>
      </c>
      <c r="D77" s="7">
        <v>944597.4</v>
      </c>
      <c r="E77" s="7">
        <v>1370284.77</v>
      </c>
      <c r="F77" s="7">
        <v>1370284.77</v>
      </c>
      <c r="G77" s="8">
        <v>2116989.35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</row>
    <row r="78" spans="1:19" ht="39.950000000000003" customHeight="1" x14ac:dyDescent="0.25">
      <c r="A78" s="5" t="s">
        <v>164</v>
      </c>
      <c r="B78" s="6" t="s">
        <v>165</v>
      </c>
      <c r="C78" s="7">
        <v>6045562.3200000003</v>
      </c>
      <c r="D78" s="7">
        <v>944597.4</v>
      </c>
      <c r="E78" s="7">
        <v>1370284.77</v>
      </c>
      <c r="F78" s="7">
        <v>1370284.77</v>
      </c>
      <c r="G78" s="8">
        <v>2116989.35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</row>
    <row r="79" spans="1:19" ht="27" customHeight="1" x14ac:dyDescent="0.25">
      <c r="A79" s="5" t="s">
        <v>166</v>
      </c>
      <c r="B79" s="6" t="s">
        <v>161</v>
      </c>
      <c r="C79" s="7">
        <v>2593562.3199999998</v>
      </c>
      <c r="D79" s="7">
        <v>552078.65</v>
      </c>
      <c r="E79" s="7">
        <v>1117690.28</v>
      </c>
      <c r="F79" s="7">
        <v>1117690.28</v>
      </c>
      <c r="G79" s="8">
        <v>1799440.95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</row>
    <row r="80" spans="1:19" ht="27" customHeight="1" x14ac:dyDescent="0.25">
      <c r="A80" s="2" t="s">
        <v>167</v>
      </c>
      <c r="B80" s="3" t="s">
        <v>168</v>
      </c>
      <c r="C80" s="20" t="s">
        <v>108</v>
      </c>
      <c r="D80" s="20" t="s">
        <v>108</v>
      </c>
      <c r="E80" s="20" t="s">
        <v>108</v>
      </c>
      <c r="F80" s="20" t="s">
        <v>108</v>
      </c>
      <c r="G80" s="20" t="s">
        <v>108</v>
      </c>
      <c r="H80" s="20" t="s">
        <v>108</v>
      </c>
      <c r="I80" s="20" t="s">
        <v>108</v>
      </c>
      <c r="J80" s="20" t="s">
        <v>108</v>
      </c>
      <c r="K80" s="20" t="s">
        <v>108</v>
      </c>
      <c r="L80" s="20" t="s">
        <v>108</v>
      </c>
      <c r="M80" s="20" t="s">
        <v>108</v>
      </c>
      <c r="N80" s="20" t="s">
        <v>108</v>
      </c>
      <c r="O80" s="20" t="s">
        <v>108</v>
      </c>
      <c r="P80" s="20" t="s">
        <v>108</v>
      </c>
      <c r="Q80" s="20" t="s">
        <v>108</v>
      </c>
      <c r="R80" s="20" t="s">
        <v>108</v>
      </c>
      <c r="S80" s="20" t="s">
        <v>108</v>
      </c>
    </row>
    <row r="81" spans="1:19" ht="27" customHeight="1" x14ac:dyDescent="0.25">
      <c r="A81" s="5" t="s">
        <v>169</v>
      </c>
      <c r="B81" s="6" t="s">
        <v>170</v>
      </c>
      <c r="C81" s="9">
        <f>IF(ISNUMBER(VLOOKUP("10.1.1",A2:S101,3,FALSE)),ROUND(VLOOKUP("10.1.1",A2:S101,3,FALSE),4),0) + IF(ISNUMBER(VLOOKUP("10.1.2",A2:S101,3,FALSE)),ROUND(VLOOKUP("10.1.2",A2:S101,3,FALSE),4),0)</f>
        <v>6899254.3300000001</v>
      </c>
      <c r="D81" s="9">
        <f>IF(ISNUMBER(VLOOKUP("10.1.1",A2:S101,4,FALSE)),ROUND(VLOOKUP("10.1.1",A2:S101,4,FALSE),4),0) + IF(ISNUMBER(VLOOKUP("10.1.2",A2:S101,4,FALSE)),ROUND(VLOOKUP("10.1.2",A2:S101,4,FALSE),4),0)</f>
        <v>1354861.05</v>
      </c>
      <c r="E81" s="9">
        <f>IF(ISNUMBER(VLOOKUP("10.1.1",A2:S101,5,FALSE)),ROUND(VLOOKUP("10.1.1",A2:S101,5,FALSE),4),0) + IF(ISNUMBER(VLOOKUP("10.1.2",A2:S101,5,FALSE)),ROUND(VLOOKUP("10.1.2",A2:S101,5,FALSE),4),0)</f>
        <v>2880260.45</v>
      </c>
      <c r="F81" s="9">
        <f>IF(ISNUMBER(VLOOKUP("10.1.1",A2:S101,6,FALSE)),ROUND(VLOOKUP("10.1.1",A2:S101,6,FALSE),4),0) + IF(ISNUMBER(VLOOKUP("10.1.2",A2:S101,6,FALSE)),ROUND(VLOOKUP("10.1.2",A2:S101,6,FALSE),4),0)</f>
        <v>2880260.45</v>
      </c>
      <c r="G81" s="9">
        <f>IF(ISNUMBER(VLOOKUP("10.1.1",A2:S101,7,FALSE)),ROUND(VLOOKUP("10.1.1",A2:S101,7,FALSE),4),0) + IF(ISNUMBER(VLOOKUP("10.1.2",A2:S101,7,FALSE)),ROUND(VLOOKUP("10.1.2",A2:S101,7,FALSE),4),0)</f>
        <v>7604638.7599999998</v>
      </c>
      <c r="H81" s="9">
        <f>IF(ISNUMBER(VLOOKUP("10.1.1",A2:S101,8,FALSE)),ROUND(VLOOKUP("10.1.1",A2:S101,8,FALSE),4),0) + IF(ISNUMBER(VLOOKUP("10.1.2",A2:S101,8,FALSE)),ROUND(VLOOKUP("10.1.2",A2:S101,8,FALSE),4),0)</f>
        <v>13184641.390000001</v>
      </c>
      <c r="I81" s="9">
        <f>IF(ISNUMBER(VLOOKUP("10.1.1",A2:S101,9,FALSE)),ROUND(VLOOKUP("10.1.1",A2:S101,9,FALSE),4),0) + IF(ISNUMBER(VLOOKUP("10.1.2",A2:S101,9,FALSE)),ROUND(VLOOKUP("10.1.2",A2:S101,9,FALSE),4),0)</f>
        <v>3714167.68</v>
      </c>
      <c r="J81" s="9">
        <f>IF(ISNUMBER(VLOOKUP("10.1.1",A2:S101,10,FALSE)),ROUND(VLOOKUP("10.1.1",A2:S101,10,FALSE),4),0) + IF(ISNUMBER(VLOOKUP("10.1.2",A2:S101,10,FALSE)),ROUND(VLOOKUP("10.1.2",A2:S101,10,FALSE),4),0)</f>
        <v>7419704.0700000003</v>
      </c>
      <c r="K81" s="9">
        <f>IF(ISNUMBER(VLOOKUP("10.1.1",A2:S101,11,FALSE)),ROUND(VLOOKUP("10.1.1",A2:S101,11,FALSE),4),0) + IF(ISNUMBER(VLOOKUP("10.1.2",A2:S101,11,FALSE)),ROUND(VLOOKUP("10.1.2",A2:S101,11,FALSE),4),0)</f>
        <v>3418849.46</v>
      </c>
      <c r="L81" s="9">
        <f>IF(ISNUMBER(VLOOKUP("10.1.1",A2:S101,12,FALSE)),ROUND(VLOOKUP("10.1.1",A2:S101,12,FALSE),4),0) + IF(ISNUMBER(VLOOKUP("10.1.2",A2:S101,12,FALSE)),ROUND(VLOOKUP("10.1.2",A2:S101,12,FALSE),4),0)</f>
        <v>4498132.3</v>
      </c>
      <c r="M81" s="9">
        <f>IF(ISNUMBER(VLOOKUP("10.1.1",A2:S101,13,FALSE)),ROUND(VLOOKUP("10.1.1",A2:S101,13,FALSE),4),0) + IF(ISNUMBER(VLOOKUP("10.1.2",A2:S101,13,FALSE)),ROUND(VLOOKUP("10.1.2",A2:S101,13,FALSE),4),0)</f>
        <v>0</v>
      </c>
      <c r="N81" s="9">
        <f>IF(ISNUMBER(VLOOKUP("10.1.1",A2:S101,14,FALSE)),ROUND(VLOOKUP("10.1.1",A2:S101,14,FALSE),4),0) + IF(ISNUMBER(VLOOKUP("10.1.2",A2:S101,14,FALSE)),ROUND(VLOOKUP("10.1.2",A2:S101,14,FALSE),4),0)</f>
        <v>0</v>
      </c>
      <c r="O81" s="9">
        <f>IF(ISNUMBER(VLOOKUP("10.1.1",A2:S101,15,FALSE)),ROUND(VLOOKUP("10.1.1",A2:S101,15,FALSE),4),0) + IF(ISNUMBER(VLOOKUP("10.1.2",A2:S101,15,FALSE)),ROUND(VLOOKUP("10.1.2",A2:S101,15,FALSE),4),0)</f>
        <v>0</v>
      </c>
      <c r="P81" s="9">
        <f>IF(ISNUMBER(VLOOKUP("10.1.1",A2:S101,16,FALSE)),ROUND(VLOOKUP("10.1.1",A2:S101,16,FALSE),4),0) + IF(ISNUMBER(VLOOKUP("10.1.2",A2:S101,16,FALSE)),ROUND(VLOOKUP("10.1.2",A2:S101,16,FALSE),4),0)</f>
        <v>0</v>
      </c>
      <c r="Q81" s="9">
        <f>IF(ISNUMBER(VLOOKUP("10.1.1",A2:S101,17,FALSE)),ROUND(VLOOKUP("10.1.1",A2:S101,17,FALSE),4),0) + IF(ISNUMBER(VLOOKUP("10.1.2",A2:S101,17,FALSE)),ROUND(VLOOKUP("10.1.2",A2:S101,17,FALSE),4),0)</f>
        <v>0</v>
      </c>
      <c r="R81" s="9">
        <f>IF(ISNUMBER(VLOOKUP("10.1.1",A2:S101,18,FALSE)),ROUND(VLOOKUP("10.1.1",A2:S101,18,FALSE),4),0) + IF(ISNUMBER(VLOOKUP("10.1.2",A2:S101,18,FALSE)),ROUND(VLOOKUP("10.1.2",A2:S101,18,FALSE),4),0)</f>
        <v>0</v>
      </c>
      <c r="S81" s="9">
        <f>IF(ISNUMBER(VLOOKUP("10.1.1",A2:S101,19,FALSE)),ROUND(VLOOKUP("10.1.1",A2:S101,19,FALSE),4),0) + IF(ISNUMBER(VLOOKUP("10.1.2",A2:S101,19,FALSE)),ROUND(VLOOKUP("10.1.2",A2:S101,19,FALSE),4),0)</f>
        <v>0</v>
      </c>
    </row>
    <row r="82" spans="1:19" ht="14.25" customHeight="1" x14ac:dyDescent="0.25">
      <c r="A82" s="5" t="s">
        <v>171</v>
      </c>
      <c r="B82" s="6" t="s">
        <v>172</v>
      </c>
      <c r="C82" s="9">
        <v>652428.86</v>
      </c>
      <c r="D82" s="9">
        <v>454900.65</v>
      </c>
      <c r="E82" s="9">
        <v>1213046.8799999999</v>
      </c>
      <c r="F82" s="9">
        <v>1213046.8799999999</v>
      </c>
      <c r="G82" s="9">
        <v>153729</v>
      </c>
      <c r="H82" s="9">
        <v>132169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</row>
    <row r="83" spans="1:19" ht="14.25" customHeight="1" x14ac:dyDescent="0.25">
      <c r="A83" s="5" t="s">
        <v>173</v>
      </c>
      <c r="B83" s="6" t="s">
        <v>174</v>
      </c>
      <c r="C83" s="9">
        <v>6246825.4699999997</v>
      </c>
      <c r="D83" s="9">
        <v>899960.4</v>
      </c>
      <c r="E83" s="9">
        <v>1667213.57</v>
      </c>
      <c r="F83" s="9">
        <v>1667213.57</v>
      </c>
      <c r="G83" s="9">
        <v>7450909.7599999998</v>
      </c>
      <c r="H83" s="9">
        <v>13052472.390000001</v>
      </c>
      <c r="I83" s="9">
        <v>3714167.68</v>
      </c>
      <c r="J83" s="9">
        <v>7419704.0700000003</v>
      </c>
      <c r="K83" s="9">
        <v>3418849.46</v>
      </c>
      <c r="L83" s="9">
        <v>4498132.3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</row>
    <row r="84" spans="1:19" ht="27" customHeight="1" x14ac:dyDescent="0.25">
      <c r="A84" s="5" t="s">
        <v>175</v>
      </c>
      <c r="B84" s="6" t="s">
        <v>176</v>
      </c>
      <c r="C84" s="7">
        <v>0</v>
      </c>
      <c r="D84" s="7">
        <v>0</v>
      </c>
      <c r="E84" s="7">
        <v>0</v>
      </c>
      <c r="F84" s="7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</row>
    <row r="85" spans="1:19" ht="39.950000000000003" customHeight="1" x14ac:dyDescent="0.25">
      <c r="A85" s="5" t="s">
        <v>177</v>
      </c>
      <c r="B85" s="6" t="s">
        <v>178</v>
      </c>
      <c r="C85" s="7">
        <v>0</v>
      </c>
      <c r="D85" s="7">
        <v>0</v>
      </c>
      <c r="E85" s="7">
        <v>0</v>
      </c>
      <c r="F85" s="7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</row>
    <row r="86" spans="1:19" ht="52.9" customHeight="1" x14ac:dyDescent="0.25">
      <c r="A86" s="5" t="s">
        <v>179</v>
      </c>
      <c r="B86" s="6" t="s">
        <v>180</v>
      </c>
      <c r="C86" s="7">
        <v>0</v>
      </c>
      <c r="D86" s="7">
        <v>0</v>
      </c>
      <c r="E86" s="7">
        <v>0</v>
      </c>
      <c r="F86" s="7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</row>
    <row r="87" spans="1:19" ht="39.950000000000003" customHeight="1" x14ac:dyDescent="0.25">
      <c r="A87" s="5" t="s">
        <v>181</v>
      </c>
      <c r="B87" s="6" t="s">
        <v>182</v>
      </c>
      <c r="C87" s="7">
        <v>0</v>
      </c>
      <c r="D87" s="7">
        <v>0</v>
      </c>
      <c r="E87" s="7">
        <v>0</v>
      </c>
      <c r="F87" s="7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</row>
    <row r="88" spans="1:19" ht="27" customHeight="1" x14ac:dyDescent="0.25">
      <c r="A88" s="5" t="s">
        <v>183</v>
      </c>
      <c r="B88" s="6" t="s">
        <v>184</v>
      </c>
      <c r="C88" s="9">
        <v>5853440</v>
      </c>
      <c r="D88" s="9">
        <v>2673440</v>
      </c>
      <c r="E88" s="9">
        <v>2573440</v>
      </c>
      <c r="F88" s="9">
        <v>2573440</v>
      </c>
      <c r="G88" s="9">
        <v>3573440</v>
      </c>
      <c r="H88" s="9">
        <v>3873440</v>
      </c>
      <c r="I88" s="9">
        <v>4413167.1500000004</v>
      </c>
      <c r="J88" s="9">
        <v>4200000</v>
      </c>
      <c r="K88" s="9">
        <v>4500000</v>
      </c>
      <c r="L88" s="9">
        <v>4800000</v>
      </c>
      <c r="M88" s="9">
        <v>5000000</v>
      </c>
      <c r="N88" s="9">
        <v>5900000</v>
      </c>
      <c r="O88" s="9">
        <v>6100000</v>
      </c>
      <c r="P88" s="9">
        <v>6100000</v>
      </c>
      <c r="Q88" s="9">
        <v>6500000</v>
      </c>
      <c r="R88" s="9">
        <v>4320000</v>
      </c>
      <c r="S88" s="9">
        <v>2200000</v>
      </c>
    </row>
    <row r="89" spans="1:19" ht="14.25" customHeight="1" x14ac:dyDescent="0.25">
      <c r="A89" s="5" t="s">
        <v>185</v>
      </c>
      <c r="B89" s="6" t="s">
        <v>186</v>
      </c>
      <c r="C89" s="9">
        <f>IF(ISNUMBER(VLOOKUP("10.7.1",A2:S101,3,FALSE)),ROUND(VLOOKUP("10.7.1",A2:S101,3,FALSE),4),0) + IF(ISNUMBER(VLOOKUP("10.7.2",A2:S101,3,FALSE)),ROUND(VLOOKUP("10.7.2",A2:S101,3,FALSE),4),0) + IF(ISNUMBER(VLOOKUP("10.7.3",A2:S101,3,FALSE)),ROUND(VLOOKUP("10.7.3",A2:S101,3,FALSE),4),0)</f>
        <v>0</v>
      </c>
      <c r="D89" s="9">
        <f>IF(ISNUMBER(VLOOKUP("10.7.1",A2:S101,4,FALSE)),ROUND(VLOOKUP("10.7.1",A2:S101,4,FALSE),4),0) + IF(ISNUMBER(VLOOKUP("10.7.2",A2:S101,4,FALSE)),ROUND(VLOOKUP("10.7.2",A2:S101,4,FALSE),4),0) + IF(ISNUMBER(VLOOKUP("10.7.3",A2:S101,4,FALSE)),ROUND(VLOOKUP("10.7.3",A2:S101,4,FALSE),4),0)</f>
        <v>0</v>
      </c>
      <c r="E89" s="9">
        <f>IF(ISNUMBER(VLOOKUP("10.7.1",A2:S101,5,FALSE)),ROUND(VLOOKUP("10.7.1",A2:S101,5,FALSE),4),0) + IF(ISNUMBER(VLOOKUP("10.7.2",A2:S101,5,FALSE)),ROUND(VLOOKUP("10.7.2",A2:S101,5,FALSE),4),0) + IF(ISNUMBER(VLOOKUP("10.7.3",A2:S101,5,FALSE)),ROUND(VLOOKUP("10.7.3",A2:S101,5,FALSE),4),0)</f>
        <v>0</v>
      </c>
      <c r="F89" s="9">
        <f>IF(ISNUMBER(VLOOKUP("10.7.1",A2:S101,6,FALSE)),ROUND(VLOOKUP("10.7.1",A2:S101,6,FALSE),4),0) + IF(ISNUMBER(VLOOKUP("10.7.2",A2:S101,6,FALSE)),ROUND(VLOOKUP("10.7.2",A2:S101,6,FALSE),4),0) + IF(ISNUMBER(VLOOKUP("10.7.3",A2:S101,6,FALSE)),ROUND(VLOOKUP("10.7.3",A2:S101,6,FALSE),4),0)</f>
        <v>0</v>
      </c>
      <c r="G89" s="9">
        <f>IF(ISNUMBER(VLOOKUP("10.7.1",A2:S101,7,FALSE)),ROUND(VLOOKUP("10.7.1",A2:S101,7,FALSE),4),0) + IF(ISNUMBER(VLOOKUP("10.7.2",A2:S101,7,FALSE)),ROUND(VLOOKUP("10.7.2",A2:S101,7,FALSE),4),0) + IF(ISNUMBER(VLOOKUP("10.7.3",A2:S101,7,FALSE)),ROUND(VLOOKUP("10.7.3",A2:S101,7,FALSE),4),0)</f>
        <v>0</v>
      </c>
      <c r="H89" s="9">
        <f>IF(ISNUMBER(VLOOKUP("10.7.1",A2:S101,8,FALSE)),ROUND(VLOOKUP("10.7.1",A2:S101,8,FALSE),4),0) + IF(ISNUMBER(VLOOKUP("10.7.2",A2:S101,8,FALSE)),ROUND(VLOOKUP("10.7.2",A2:S101,8,FALSE),4),0) + IF(ISNUMBER(VLOOKUP("10.7.3",A2:S101,8,FALSE)),ROUND(VLOOKUP("10.7.3",A2:S101,8,FALSE),4),0)</f>
        <v>0</v>
      </c>
      <c r="I89" s="9">
        <f>IF(ISNUMBER(VLOOKUP("10.7.1",A2:S101,9,FALSE)),ROUND(VLOOKUP("10.7.1",A2:S101,9,FALSE),4),0) + IF(ISNUMBER(VLOOKUP("10.7.2",A2:S101,9,FALSE)),ROUND(VLOOKUP("10.7.2",A2:S101,9,FALSE),4),0) + IF(ISNUMBER(VLOOKUP("10.7.3",A2:S101,9,FALSE)),ROUND(VLOOKUP("10.7.3",A2:S101,9,FALSE),4),0)</f>
        <v>0</v>
      </c>
      <c r="J89" s="9">
        <f>IF(ISNUMBER(VLOOKUP("10.7.1",A2:S101,10,FALSE)),ROUND(VLOOKUP("10.7.1",A2:S101,10,FALSE),4),0) + IF(ISNUMBER(VLOOKUP("10.7.2",A2:S101,10,FALSE)),ROUND(VLOOKUP("10.7.2",A2:S101,10,FALSE),4),0) + IF(ISNUMBER(VLOOKUP("10.7.3",A2:S101,10,FALSE)),ROUND(VLOOKUP("10.7.3",A2:S101,10,FALSE),4),0)</f>
        <v>0</v>
      </c>
      <c r="K89" s="9">
        <f>IF(ISNUMBER(VLOOKUP("10.7.1",A2:S101,11,FALSE)),ROUND(VLOOKUP("10.7.1",A2:S101,11,FALSE),4),0) + IF(ISNUMBER(VLOOKUP("10.7.2",A2:S101,11,FALSE)),ROUND(VLOOKUP("10.7.2",A2:S101,11,FALSE),4),0) + IF(ISNUMBER(VLOOKUP("10.7.3",A2:S101,11,FALSE)),ROUND(VLOOKUP("10.7.3",A2:S101,11,FALSE),4),0)</f>
        <v>0</v>
      </c>
      <c r="L89" s="9">
        <f>IF(ISNUMBER(VLOOKUP("10.7.1",A2:S101,12,FALSE)),ROUND(VLOOKUP("10.7.1",A2:S101,12,FALSE),4),0) + IF(ISNUMBER(VLOOKUP("10.7.2",A2:S101,12,FALSE)),ROUND(VLOOKUP("10.7.2",A2:S101,12,FALSE),4),0) + IF(ISNUMBER(VLOOKUP("10.7.3",A2:S101,12,FALSE)),ROUND(VLOOKUP("10.7.3",A2:S101,12,FALSE),4),0)</f>
        <v>0</v>
      </c>
      <c r="M89" s="9">
        <f>IF(ISNUMBER(VLOOKUP("10.7.1",A2:S101,13,FALSE)),ROUND(VLOOKUP("10.7.1",A2:S101,13,FALSE),4),0) + IF(ISNUMBER(VLOOKUP("10.7.2",A2:S101,13,FALSE)),ROUND(VLOOKUP("10.7.2",A2:S101,13,FALSE),4),0) + IF(ISNUMBER(VLOOKUP("10.7.3",A2:S101,13,FALSE)),ROUND(VLOOKUP("10.7.3",A2:S101,13,FALSE),4),0)</f>
        <v>0</v>
      </c>
      <c r="N89" s="9">
        <f>IF(ISNUMBER(VLOOKUP("10.7.1",A2:S101,14,FALSE)),ROUND(VLOOKUP("10.7.1",A2:S101,14,FALSE),4),0) + IF(ISNUMBER(VLOOKUP("10.7.2",A2:S101,14,FALSE)),ROUND(VLOOKUP("10.7.2",A2:S101,14,FALSE),4),0) + IF(ISNUMBER(VLOOKUP("10.7.3",A2:S101,14,FALSE)),ROUND(VLOOKUP("10.7.3",A2:S101,14,FALSE),4),0)</f>
        <v>0</v>
      </c>
      <c r="O89" s="9">
        <f>IF(ISNUMBER(VLOOKUP("10.7.1",A2:S101,15,FALSE)),ROUND(VLOOKUP("10.7.1",A2:S101,15,FALSE),4),0) + IF(ISNUMBER(VLOOKUP("10.7.2",A2:S101,15,FALSE)),ROUND(VLOOKUP("10.7.2",A2:S101,15,FALSE),4),0) + IF(ISNUMBER(VLOOKUP("10.7.3",A2:S101,15,FALSE)),ROUND(VLOOKUP("10.7.3",A2:S101,15,FALSE),4),0)</f>
        <v>0</v>
      </c>
      <c r="P89" s="9">
        <f>IF(ISNUMBER(VLOOKUP("10.7.1",A2:S101,16,FALSE)),ROUND(VLOOKUP("10.7.1",A2:S101,16,FALSE),4),0) + IF(ISNUMBER(VLOOKUP("10.7.2",A2:S101,16,FALSE)),ROUND(VLOOKUP("10.7.2",A2:S101,16,FALSE),4),0) + IF(ISNUMBER(VLOOKUP("10.7.3",A2:S101,16,FALSE)),ROUND(VLOOKUP("10.7.3",A2:S101,16,FALSE),4),0)</f>
        <v>0</v>
      </c>
      <c r="Q89" s="9">
        <f>IF(ISNUMBER(VLOOKUP("10.7.1",A2:S101,17,FALSE)),ROUND(VLOOKUP("10.7.1",A2:S101,17,FALSE),4),0) + IF(ISNUMBER(VLOOKUP("10.7.2",A2:S101,17,FALSE)),ROUND(VLOOKUP("10.7.2",A2:S101,17,FALSE),4),0) + IF(ISNUMBER(VLOOKUP("10.7.3",A2:S101,17,FALSE)),ROUND(VLOOKUP("10.7.3",A2:S101,17,FALSE),4),0)</f>
        <v>0</v>
      </c>
      <c r="R89" s="9">
        <f>IF(ISNUMBER(VLOOKUP("10.7.1",A2:S101,18,FALSE)),ROUND(VLOOKUP("10.7.1",A2:S101,18,FALSE),4),0) + IF(ISNUMBER(VLOOKUP("10.7.2",A2:S101,18,FALSE)),ROUND(VLOOKUP("10.7.2",A2:S101,18,FALSE),4),0) + IF(ISNUMBER(VLOOKUP("10.7.3",A2:S101,18,FALSE)),ROUND(VLOOKUP("10.7.3",A2:S101,18,FALSE),4),0)</f>
        <v>0</v>
      </c>
      <c r="S89" s="9">
        <f>IF(ISNUMBER(VLOOKUP("10.7.1",A2:S101,19,FALSE)),ROUND(VLOOKUP("10.7.1",A2:S101,19,FALSE),4),0) + IF(ISNUMBER(VLOOKUP("10.7.2",A2:S101,19,FALSE)),ROUND(VLOOKUP("10.7.2",A2:S101,19,FALSE),4),0) + IF(ISNUMBER(VLOOKUP("10.7.3",A2:S101,19,FALSE)),ROUND(VLOOKUP("10.7.3",A2:S101,19,FALSE),4),0)</f>
        <v>0</v>
      </c>
    </row>
    <row r="90" spans="1:19" ht="27" customHeight="1" x14ac:dyDescent="0.25">
      <c r="A90" s="5" t="s">
        <v>187</v>
      </c>
      <c r="B90" s="6" t="s">
        <v>188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</row>
    <row r="91" spans="1:19" ht="27" customHeight="1" x14ac:dyDescent="0.25">
      <c r="A91" s="5" t="s">
        <v>189</v>
      </c>
      <c r="B91" s="6" t="s">
        <v>190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</row>
    <row r="92" spans="1:19" ht="14.25" customHeight="1" x14ac:dyDescent="0.25">
      <c r="A92" s="5" t="s">
        <v>191</v>
      </c>
      <c r="B92" s="6" t="s">
        <v>192</v>
      </c>
      <c r="C92" s="9" t="s">
        <v>108</v>
      </c>
      <c r="D92" s="9" t="s">
        <v>108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</row>
    <row r="93" spans="1:19" ht="14.25" customHeight="1" x14ac:dyDescent="0.25">
      <c r="A93" s="5" t="s">
        <v>193</v>
      </c>
      <c r="B93" s="6" t="s">
        <v>194</v>
      </c>
      <c r="C93" s="9" t="s">
        <v>108</v>
      </c>
      <c r="D93" s="9" t="s">
        <v>108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</row>
    <row r="94" spans="1:19" ht="14.25" customHeight="1" x14ac:dyDescent="0.25">
      <c r="A94" s="5" t="s">
        <v>195</v>
      </c>
      <c r="B94" s="6" t="s">
        <v>196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</row>
    <row r="95" spans="1:19" ht="27" customHeight="1" x14ac:dyDescent="0.25">
      <c r="A95" s="5" t="s">
        <v>197</v>
      </c>
      <c r="B95" s="6" t="s">
        <v>198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</row>
    <row r="96" spans="1:19" ht="27" customHeight="1" x14ac:dyDescent="0.25">
      <c r="A96" s="5" t="s">
        <v>199</v>
      </c>
      <c r="B96" s="6" t="s">
        <v>200</v>
      </c>
      <c r="C96" s="9" t="s">
        <v>108</v>
      </c>
      <c r="D96" s="9" t="s">
        <v>108</v>
      </c>
      <c r="E96" s="9" t="s">
        <v>108</v>
      </c>
      <c r="F96" s="9" t="s">
        <v>108</v>
      </c>
      <c r="G96" s="9">
        <v>0</v>
      </c>
      <c r="H96" s="9" t="s">
        <v>108</v>
      </c>
      <c r="I96" s="9" t="s">
        <v>108</v>
      </c>
      <c r="J96" s="9" t="s">
        <v>108</v>
      </c>
      <c r="K96" s="9" t="s">
        <v>108</v>
      </c>
      <c r="L96" s="9" t="s">
        <v>108</v>
      </c>
      <c r="M96" s="9" t="s">
        <v>108</v>
      </c>
      <c r="N96" s="9" t="s">
        <v>108</v>
      </c>
      <c r="O96" s="9" t="s">
        <v>108</v>
      </c>
      <c r="P96" s="9" t="s">
        <v>108</v>
      </c>
      <c r="Q96" s="9" t="s">
        <v>108</v>
      </c>
      <c r="R96" s="9" t="s">
        <v>108</v>
      </c>
      <c r="S96" s="9" t="s">
        <v>108</v>
      </c>
    </row>
    <row r="97" spans="1:19" ht="78.599999999999994" customHeight="1" x14ac:dyDescent="0.25">
      <c r="A97" s="5" t="s">
        <v>201</v>
      </c>
      <c r="B97" s="6" t="s">
        <v>202</v>
      </c>
      <c r="C97" s="9">
        <f>IF(ISNUMBER(VLOOKUP("2.1.3.3",A2:S101,3,FALSE)),ROUND(VLOOKUP("2.1.3.3",A2:S101,3,FALSE),4),0) + IF(ISNUMBER(VLOOKUP("5.1.1.4",A2:S101,3,FALSE)),ROUND(VLOOKUP("5.1.1.4",A2:S101,3,FALSE),4),0)</f>
        <v>0</v>
      </c>
      <c r="D97" s="9">
        <f>IF(ISNUMBER(VLOOKUP("2.1.3.3",A2:S101,4,FALSE)),ROUND(VLOOKUP("2.1.3.3",A2:S101,4,FALSE),4),0) + IF(ISNUMBER(VLOOKUP("5.1.1.4",A2:S101,4,FALSE)),ROUND(VLOOKUP("5.1.1.4",A2:S101,4,FALSE),4),0)</f>
        <v>0</v>
      </c>
      <c r="E97" s="9">
        <f>IF(ISNUMBER(VLOOKUP("2.1.3.3",A2:S101,5,FALSE)),ROUND(VLOOKUP("2.1.3.3",A2:S101,5,FALSE),4),0) + IF(ISNUMBER(VLOOKUP("5.1.1.4",A2:S101,5,FALSE)),ROUND(VLOOKUP("5.1.1.4",A2:S101,5,FALSE),4),0)</f>
        <v>0</v>
      </c>
      <c r="F97" s="9">
        <f>IF(ISNUMBER(VLOOKUP("2.1.3.3",A2:S101,6,FALSE)),ROUND(VLOOKUP("2.1.3.3",A2:S101,6,FALSE),4),0) + IF(ISNUMBER(VLOOKUP("5.1.1.4",A2:S101,6,FALSE)),ROUND(VLOOKUP("5.1.1.4",A2:S101,6,FALSE),4),0)</f>
        <v>0</v>
      </c>
      <c r="G97" s="9">
        <f>IF(ISNUMBER(VLOOKUP("2.1.3.3",A2:S101,7,FALSE)),ROUND(VLOOKUP("2.1.3.3",A2:S101,7,FALSE),4),0) + IF(ISNUMBER(VLOOKUP("5.1.1.4",A2:S101,7,FALSE)),ROUND(VLOOKUP("5.1.1.4",A2:S101,7,FALSE),4),0)</f>
        <v>0</v>
      </c>
      <c r="H97" s="9">
        <f>IF(ISNUMBER(VLOOKUP("2.1.3.3",A2:S101,8,FALSE)),ROUND(VLOOKUP("2.1.3.3",A2:S101,8,FALSE),4),0) + IF(ISNUMBER(VLOOKUP("5.1.1.4",A2:S101,8,FALSE)),ROUND(VLOOKUP("5.1.1.4",A2:S101,8,FALSE),4),0)</f>
        <v>0</v>
      </c>
      <c r="I97" s="9">
        <f>IF(ISNUMBER(VLOOKUP("2.1.3.3",A2:S101,9,FALSE)),ROUND(VLOOKUP("2.1.3.3",A2:S101,9,FALSE),4),0) + IF(ISNUMBER(VLOOKUP("5.1.1.4",A2:S101,9,FALSE)),ROUND(VLOOKUP("5.1.1.4",A2:S101,9,FALSE),4),0)</f>
        <v>0</v>
      </c>
      <c r="J97" s="9">
        <f>IF(ISNUMBER(VLOOKUP("2.1.3.3",A2:S101,10,FALSE)),ROUND(VLOOKUP("2.1.3.3",A2:S101,10,FALSE),4),0) + IF(ISNUMBER(VLOOKUP("5.1.1.4",A2:S101,10,FALSE)),ROUND(VLOOKUP("5.1.1.4",A2:S101,10,FALSE),4),0)</f>
        <v>0</v>
      </c>
      <c r="K97" s="9">
        <f>IF(ISNUMBER(VLOOKUP("2.1.3.3",A2:S101,11,FALSE)),ROUND(VLOOKUP("2.1.3.3",A2:S101,11,FALSE),4),0) + IF(ISNUMBER(VLOOKUP("5.1.1.4",A2:S101,11,FALSE)),ROUND(VLOOKUP("5.1.1.4",A2:S101,11,FALSE),4),0)</f>
        <v>0</v>
      </c>
      <c r="L97" s="9">
        <f>IF(ISNUMBER(VLOOKUP("2.1.3.3",A2:S101,12,FALSE)),ROUND(VLOOKUP("2.1.3.3",A2:S101,12,FALSE),4),0) + IF(ISNUMBER(VLOOKUP("5.1.1.4",A2:S101,12,FALSE)),ROUND(VLOOKUP("5.1.1.4",A2:S101,12,FALSE),4),0)</f>
        <v>0</v>
      </c>
      <c r="M97" s="9">
        <f>IF(ISNUMBER(VLOOKUP("2.1.3.3",A2:S101,13,FALSE)),ROUND(VLOOKUP("2.1.3.3",A2:S101,13,FALSE),4),0) + IF(ISNUMBER(VLOOKUP("5.1.1.4",A2:S101,13,FALSE)),ROUND(VLOOKUP("5.1.1.4",A2:S101,13,FALSE),4),0)</f>
        <v>0</v>
      </c>
      <c r="N97" s="9">
        <f>IF(ISNUMBER(VLOOKUP("2.1.3.3",A2:S101,14,FALSE)),ROUND(VLOOKUP("2.1.3.3",A2:S101,14,FALSE),4),0) + IF(ISNUMBER(VLOOKUP("5.1.1.4",A2:S101,14,FALSE)),ROUND(VLOOKUP("5.1.1.4",A2:S101,14,FALSE),4),0)</f>
        <v>0</v>
      </c>
      <c r="O97" s="9">
        <f>IF(ISNUMBER(VLOOKUP("2.1.3.3",A2:S101,15,FALSE)),ROUND(VLOOKUP("2.1.3.3",A2:S101,15,FALSE),4),0) + IF(ISNUMBER(VLOOKUP("5.1.1.4",A2:S101,15,FALSE)),ROUND(VLOOKUP("5.1.1.4",A2:S101,15,FALSE),4),0)</f>
        <v>0</v>
      </c>
      <c r="P97" s="9">
        <f>IF(ISNUMBER(VLOOKUP("2.1.3.3",A2:S101,16,FALSE)),ROUND(VLOOKUP("2.1.3.3",A2:S101,16,FALSE),4),0) + IF(ISNUMBER(VLOOKUP("5.1.1.4",A2:S101,16,FALSE)),ROUND(VLOOKUP("5.1.1.4",A2:S101,16,FALSE),4),0)</f>
        <v>0</v>
      </c>
      <c r="Q97" s="9">
        <f>IF(ISNUMBER(VLOOKUP("2.1.3.3",A2:S101,17,FALSE)),ROUND(VLOOKUP("2.1.3.3",A2:S101,17,FALSE),4),0) + IF(ISNUMBER(VLOOKUP("5.1.1.4",A2:S101,17,FALSE)),ROUND(VLOOKUP("5.1.1.4",A2:S101,17,FALSE),4),0)</f>
        <v>0</v>
      </c>
      <c r="R97" s="9">
        <f>IF(ISNUMBER(VLOOKUP("2.1.3.3",A2:S101,18,FALSE)),ROUND(VLOOKUP("2.1.3.3",A2:S101,18,FALSE),4),0) + IF(ISNUMBER(VLOOKUP("5.1.1.4",A2:S101,18,FALSE)),ROUND(VLOOKUP("5.1.1.4",A2:S101,18,FALSE),4),0)</f>
        <v>0</v>
      </c>
      <c r="S97" s="9">
        <f>IF(ISNUMBER(VLOOKUP("2.1.3.3",A2:S101,19,FALSE)),ROUND(VLOOKUP("2.1.3.3",A2:S101,19,FALSE),4),0) + IF(ISNUMBER(VLOOKUP("5.1.1.4",A2:S101,19,FALSE)),ROUND(VLOOKUP("5.1.1.4",A2:S101,19,FALSE),4),0)</f>
        <v>0</v>
      </c>
    </row>
    <row r="98" spans="1:19" ht="27" customHeight="1" x14ac:dyDescent="0.25">
      <c r="A98" s="5" t="s">
        <v>203</v>
      </c>
      <c r="B98" s="6" t="s">
        <v>204</v>
      </c>
      <c r="C98" s="7">
        <v>0</v>
      </c>
      <c r="D98" s="7">
        <v>0</v>
      </c>
      <c r="E98" s="7">
        <v>176893</v>
      </c>
      <c r="F98" s="7">
        <v>176893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</row>
    <row r="99" spans="1:19" hidden="1" x14ac:dyDescent="0.25">
      <c r="A99" s="17" t="s">
        <v>205</v>
      </c>
      <c r="B99" s="18" t="s">
        <v>206</v>
      </c>
      <c r="C99" s="19">
        <f>IF(ISNUMBER(VLOOKUP("3",A2:S101,3,FALSE)),ROUND(VLOOKUP("3",A2:S101,3,FALSE),4),0) + IF(ISNUMBER(VLOOKUP("4",A2:S101,3,FALSE)),ROUND(VLOOKUP("4",A2:S101,3,FALSE),4),0) - IF(ISNUMBER(VLOOKUP("5",A2:S101,3,FALSE)),ROUND(VLOOKUP("5",A2:S101,3,FALSE),4),0)</f>
        <v>2829446.3899999987</v>
      </c>
      <c r="D99" s="19">
        <f>IF(ISNUMBER(VLOOKUP("3",A2:S101,4,FALSE)),ROUND(VLOOKUP("3",A2:S101,4,FALSE),4),0) + IF(ISNUMBER(VLOOKUP("4",A2:S101,4,FALSE)),ROUND(VLOOKUP("4",A2:S101,4,FALSE),4),0) - IF(ISNUMBER(VLOOKUP("5",A2:S101,4,FALSE)),ROUND(VLOOKUP("5",A2:S101,4,FALSE),4),0)</f>
        <v>2861507.84</v>
      </c>
      <c r="E99" s="19">
        <f>IF(ISNUMBER(VLOOKUP("3",A2:S101,5,FALSE)),ROUND(VLOOKUP("3",A2:S101,5,FALSE),4),0) + IF(ISNUMBER(VLOOKUP("4",A2:S101,5,FALSE)),ROUND(VLOOKUP("4",A2:S101,5,FALSE),4),0) - IF(ISNUMBER(VLOOKUP("5",A2:S101,5,FALSE)),ROUND(VLOOKUP("5",A2:S101,5,FALSE),4),0)</f>
        <v>0</v>
      </c>
      <c r="F99" s="19">
        <f>IF(ISNUMBER(VLOOKUP("3",A2:S101,6,FALSE)),ROUND(VLOOKUP("3",A2:S101,6,FALSE),4),0) + IF(ISNUMBER(VLOOKUP("4",A2:S101,6,FALSE)),ROUND(VLOOKUP("4",A2:S101,6,FALSE),4),0) - IF(ISNUMBER(VLOOKUP("5",A2:S101,6,FALSE)),ROUND(VLOOKUP("5",A2:S101,6,FALSE),4),0)</f>
        <v>0</v>
      </c>
      <c r="G99" s="19">
        <f>IF(ISNUMBER(VLOOKUP("3",A2:S101,7,FALSE)),ROUND(VLOOKUP("3",A2:S101,7,FALSE),4),0) + IF(ISNUMBER(VLOOKUP("4",A2:S101,7,FALSE)),ROUND(VLOOKUP("4",A2:S101,7,FALSE),4),0) - IF(ISNUMBER(VLOOKUP("5",A2:S101,7,FALSE)),ROUND(VLOOKUP("5",A2:S101,7,FALSE),4),0)</f>
        <v>0</v>
      </c>
      <c r="H99" s="19">
        <f>IF(ISNUMBER(VLOOKUP("3",A2:S101,8,FALSE)),ROUND(VLOOKUP("3",A2:S101,8,FALSE),4),0) + IF(ISNUMBER(VLOOKUP("4",A2:S101,8,FALSE)),ROUND(VLOOKUP("4",A2:S101,8,FALSE),4),0) - IF(ISNUMBER(VLOOKUP("5",A2:S101,8,FALSE)),ROUND(VLOOKUP("5",A2:S101,8,FALSE),4),0)</f>
        <v>0</v>
      </c>
      <c r="I99" s="19">
        <f>IF(ISNUMBER(VLOOKUP("3",A2:S101,9,FALSE)),ROUND(VLOOKUP("3",A2:S101,9,FALSE),4),0) + IF(ISNUMBER(VLOOKUP("4",A2:S101,9,FALSE)),ROUND(VLOOKUP("4",A2:S101,9,FALSE),4),0) - IF(ISNUMBER(VLOOKUP("5",A2:S101,9,FALSE)),ROUND(VLOOKUP("5",A2:S101,9,FALSE),4),0)</f>
        <v>0</v>
      </c>
      <c r="J99" s="19">
        <f>IF(ISNUMBER(VLOOKUP("3",A2:S101,10,FALSE)),ROUND(VLOOKUP("3",A2:S101,10,FALSE),4),0) + IF(ISNUMBER(VLOOKUP("4",A2:S101,10,FALSE)),ROUND(VLOOKUP("4",A2:S101,10,FALSE),4),0) - IF(ISNUMBER(VLOOKUP("5",A2:S101,10,FALSE)),ROUND(VLOOKUP("5",A2:S101,10,FALSE),4),0)</f>
        <v>0</v>
      </c>
      <c r="K99" s="19">
        <f>IF(ISNUMBER(VLOOKUP("3",A2:S101,11,FALSE)),ROUND(VLOOKUP("3",A2:S101,11,FALSE),4),0) + IF(ISNUMBER(VLOOKUP("4",A2:S101,11,FALSE)),ROUND(VLOOKUP("4",A2:S101,11,FALSE),4),0) - IF(ISNUMBER(VLOOKUP("5",A2:S101,11,FALSE)),ROUND(VLOOKUP("5",A2:S101,11,FALSE),4),0)</f>
        <v>0</v>
      </c>
      <c r="L99" s="19">
        <f>IF(ISNUMBER(VLOOKUP("3",A2:S101,12,FALSE)),ROUND(VLOOKUP("3",A2:S101,12,FALSE),4),0) + IF(ISNUMBER(VLOOKUP("4",A2:S101,12,FALSE)),ROUND(VLOOKUP("4",A2:S101,12,FALSE),4),0) - IF(ISNUMBER(VLOOKUP("5",A2:S101,12,FALSE)),ROUND(VLOOKUP("5",A2:S101,12,FALSE),4),0)</f>
        <v>0</v>
      </c>
      <c r="M99" s="19">
        <f>IF(ISNUMBER(VLOOKUP("3",A2:S101,13,FALSE)),ROUND(VLOOKUP("3",A2:S101,13,FALSE),4),0) + IF(ISNUMBER(VLOOKUP("4",A2:S101,13,FALSE)),ROUND(VLOOKUP("4",A2:S101,13,FALSE),4),0) - IF(ISNUMBER(VLOOKUP("5",A2:S101,13,FALSE)),ROUND(VLOOKUP("5",A2:S101,13,FALSE),4),0)</f>
        <v>0</v>
      </c>
      <c r="N99" s="19">
        <f>IF(ISNUMBER(VLOOKUP("3",A2:S101,14,FALSE)),ROUND(VLOOKUP("3",A2:S101,14,FALSE),4),0) + IF(ISNUMBER(VLOOKUP("4",A2:S101,14,FALSE)),ROUND(VLOOKUP("4",A2:S101,14,FALSE),4),0) - IF(ISNUMBER(VLOOKUP("5",A2:S101,14,FALSE)),ROUND(VLOOKUP("5",A2:S101,14,FALSE),4),0)</f>
        <v>0</v>
      </c>
      <c r="O99" s="19">
        <f>IF(ISNUMBER(VLOOKUP("3",A2:S101,15,FALSE)),ROUND(VLOOKUP("3",A2:S101,15,FALSE),4),0) + IF(ISNUMBER(VLOOKUP("4",A2:S101,15,FALSE)),ROUND(VLOOKUP("4",A2:S101,15,FALSE),4),0) - IF(ISNUMBER(VLOOKUP("5",A2:S101,15,FALSE)),ROUND(VLOOKUP("5",A2:S101,15,FALSE),4),0)</f>
        <v>0</v>
      </c>
      <c r="P99" s="19">
        <f>IF(ISNUMBER(VLOOKUP("3",A2:S101,16,FALSE)),ROUND(VLOOKUP("3",A2:S101,16,FALSE),4),0) + IF(ISNUMBER(VLOOKUP("4",A2:S101,16,FALSE)),ROUND(VLOOKUP("4",A2:S101,16,FALSE),4),0) - IF(ISNUMBER(VLOOKUP("5",A2:S101,16,FALSE)),ROUND(VLOOKUP("5",A2:S101,16,FALSE),4),0)</f>
        <v>0</v>
      </c>
      <c r="Q99" s="19">
        <f>IF(ISNUMBER(VLOOKUP("3",A2:S101,17,FALSE)),ROUND(VLOOKUP("3",A2:S101,17,FALSE),4),0) + IF(ISNUMBER(VLOOKUP("4",A2:S101,17,FALSE)),ROUND(VLOOKUP("4",A2:S101,17,FALSE),4),0) - IF(ISNUMBER(VLOOKUP("5",A2:S101,17,FALSE)),ROUND(VLOOKUP("5",A2:S101,17,FALSE),4),0)</f>
        <v>0</v>
      </c>
      <c r="R99" s="19">
        <f>IF(ISNUMBER(VLOOKUP("3",A2:S101,18,FALSE)),ROUND(VLOOKUP("3",A2:S101,18,FALSE),4),0) + IF(ISNUMBER(VLOOKUP("4",A2:S101,18,FALSE)),ROUND(VLOOKUP("4",A2:S101,18,FALSE),4),0) - IF(ISNUMBER(VLOOKUP("5",A2:S101,18,FALSE)),ROUND(VLOOKUP("5",A2:S101,18,FALSE),4),0)</f>
        <v>0</v>
      </c>
      <c r="S99" s="19">
        <f>IF(ISNUMBER(VLOOKUP("3",A2:S101,19,FALSE)),ROUND(VLOOKUP("3",A2:S101,19,FALSE),4),0) + IF(ISNUMBER(VLOOKUP("4",A2:S101,19,FALSE)),ROUND(VLOOKUP("4",A2:S101,19,FALSE),4),0) - IF(ISNUMBER(VLOOKUP("5",A2:S101,19,FALSE)),ROUND(VLOOKUP("5",A2:S101,19,FALSE),4),0)</f>
        <v>0</v>
      </c>
    </row>
    <row r="100" spans="1:19" hidden="1" x14ac:dyDescent="0.25">
      <c r="A100" s="5" t="s">
        <v>207</v>
      </c>
      <c r="B100" s="6" t="s">
        <v>208</v>
      </c>
      <c r="C100" s="9">
        <f>IF(ISNUMBER(VLOOKUP("1",A2:S101,3,FALSE)),ROUND(VLOOKUP("1",A2:S101,3,FALSE),4),0) - (IF(ISNUMBER(VLOOKUP("2.1",A2:S101,3,FALSE)),ROUND(VLOOKUP("2.1",A2:S101,3,FALSE),4),0) + IF(ISNUMBER(VLOOKUP("10.1.2",A2:S101,3,FALSE)),ROUND(VLOOKUP("10.1.2",A2:S101,3,FALSE),4),0)) + IF(ISNUMBER(VLOOKUP("4",A2:S101,3,FALSE)),ROUND(VLOOKUP("4",A2:S101,3,FALSE),4),0) - IF(ISNUMBER(VLOOKUP("5",A2:S101,3,FALSE)),ROUND(VLOOKUP("5",A2:S101,3,FALSE),4),0)</f>
        <v>6851169.3600000143</v>
      </c>
      <c r="D100" s="9">
        <f>IF(ISNUMBER(VLOOKUP("1",A2:S101,4,FALSE)),ROUND(VLOOKUP("1",A2:S101,4,FALSE),4),0) - (IF(ISNUMBER(VLOOKUP("2.1",A2:S101,4,FALSE)),ROUND(VLOOKUP("2.1",A2:S101,4,FALSE),4),0) + IF(ISNUMBER(VLOOKUP("10.1.2",A2:S101,4,FALSE)),ROUND(VLOOKUP("10.1.2",A2:S101,4,FALSE),4),0)) + IF(ISNUMBER(VLOOKUP("4",A2:S101,4,FALSE)),ROUND(VLOOKUP("4",A2:S101,4,FALSE),4),0) - IF(ISNUMBER(VLOOKUP("5",A2:S101,4,FALSE)),ROUND(VLOOKUP("5",A2:S101,4,FALSE),4),0)</f>
        <v>7036498.5100000054</v>
      </c>
      <c r="E100" s="9">
        <f>IF(ISNUMBER(VLOOKUP("1",A2:S101,5,FALSE)),ROUND(VLOOKUP("1",A2:S101,5,FALSE),4),0) - (IF(ISNUMBER(VLOOKUP("2.1",A2:S101,5,FALSE)),ROUND(VLOOKUP("2.1",A2:S101,5,FALSE),4),0) + IF(ISNUMBER(VLOOKUP("10.1.2",A2:S101,5,FALSE)),ROUND(VLOOKUP("10.1.2",A2:S101,5,FALSE),4),0)) + IF(ISNUMBER(VLOOKUP("4",A2:S101,5,FALSE)),ROUND(VLOOKUP("4",A2:S101,5,FALSE),4),0) - IF(ISNUMBER(VLOOKUP("5",A2:S101,5,FALSE)),ROUND(VLOOKUP("5",A2:S101,5,FALSE),4),0)</f>
        <v>3436843.2000000067</v>
      </c>
      <c r="F100" s="9">
        <f>IF(ISNUMBER(VLOOKUP("1",A2:S101,6,FALSE)),ROUND(VLOOKUP("1",A2:S101,6,FALSE),4),0) - (IF(ISNUMBER(VLOOKUP("2.1",A2:S101,6,FALSE)),ROUND(VLOOKUP("2.1",A2:S101,6,FALSE),4),0) + IF(ISNUMBER(VLOOKUP("10.1.2",A2:S101,6,FALSE)),ROUND(VLOOKUP("10.1.2",A2:S101,6,FALSE),4),0)) + IF(ISNUMBER(VLOOKUP("4",A2:S101,6,FALSE)),ROUND(VLOOKUP("4",A2:S101,6,FALSE),4),0) - IF(ISNUMBER(VLOOKUP("5",A2:S101,6,FALSE)),ROUND(VLOOKUP("5",A2:S101,6,FALSE),4),0)</f>
        <v>3476288.2000000067</v>
      </c>
      <c r="G100" s="9">
        <f>IF(ISNUMBER(VLOOKUP("1",A2:S101,7,FALSE)),ROUND(VLOOKUP("1",A2:S101,7,FALSE),4),0) - (IF(ISNUMBER(VLOOKUP("2.1",A2:S101,7,FALSE)),ROUND(VLOOKUP("2.1",A2:S101,7,FALSE),4),0) + IF(ISNUMBER(VLOOKUP("10.1.2",A2:S101,7,FALSE)),ROUND(VLOOKUP("10.1.2",A2:S101,7,FALSE),4),0)) + IF(ISNUMBER(VLOOKUP("4",A2:S101,7,FALSE)),ROUND(VLOOKUP("4",A2:S101,7,FALSE),4),0) - IF(ISNUMBER(VLOOKUP("5",A2:S101,7,FALSE)),ROUND(VLOOKUP("5",A2:S101,7,FALSE),4),0)</f>
        <v>5894005.8199999928</v>
      </c>
      <c r="H100" s="9">
        <f>IF(ISNUMBER(VLOOKUP("1",A2:S101,8,FALSE)),ROUND(VLOOKUP("1",A2:S101,8,FALSE),4),0) - (IF(ISNUMBER(VLOOKUP("2.1",A2:S101,8,FALSE)),ROUND(VLOOKUP("2.1",A2:S101,8,FALSE),4),0) + IF(ISNUMBER(VLOOKUP("10.1.2",A2:S101,8,FALSE)),ROUND(VLOOKUP("10.1.2",A2:S101,8,FALSE),4),0)) + IF(ISNUMBER(VLOOKUP("4",A2:S101,8,FALSE)),ROUND(VLOOKUP("4",A2:S101,8,FALSE),4),0) - IF(ISNUMBER(VLOOKUP("5",A2:S101,8,FALSE)),ROUND(VLOOKUP("5",A2:S101,8,FALSE),4),0)</f>
        <v>22930.890000000596</v>
      </c>
      <c r="I100" s="9">
        <f>IF(ISNUMBER(VLOOKUP("1",A2:S101,9,FALSE)),ROUND(VLOOKUP("1",A2:S101,9,FALSE),4),0) - (IF(ISNUMBER(VLOOKUP("2.1",A2:S101,9,FALSE)),ROUND(VLOOKUP("2.1",A2:S101,9,FALSE),4),0) + IF(ISNUMBER(VLOOKUP("10.1.2",A2:S101,9,FALSE)),ROUND(VLOOKUP("10.1.2",A2:S101,9,FALSE),4),0)) + IF(ISNUMBER(VLOOKUP("4",A2:S101,9,FALSE)),ROUND(VLOOKUP("4",A2:S101,9,FALSE),4),0) - IF(ISNUMBER(VLOOKUP("5",A2:S101,9,FALSE)),ROUND(VLOOKUP("5",A2:S101,9,FALSE),4),0)</f>
        <v>135097.46999998949</v>
      </c>
      <c r="J100" s="9">
        <f>IF(ISNUMBER(VLOOKUP("1",A2:S101,10,FALSE)),ROUND(VLOOKUP("1",A2:S101,10,FALSE),4),0) - (IF(ISNUMBER(VLOOKUP("2.1",A2:S101,10,FALSE)),ROUND(VLOOKUP("2.1",A2:S101,10,FALSE),4),0) + IF(ISNUMBER(VLOOKUP("10.1.2",A2:S101,10,FALSE)),ROUND(VLOOKUP("10.1.2",A2:S101,10,FALSE),4),0)) + IF(ISNUMBER(VLOOKUP("4",A2:S101,10,FALSE)),ROUND(VLOOKUP("4",A2:S101,10,FALSE),4),0) - IF(ISNUMBER(VLOOKUP("5",A2:S101,10,FALSE)),ROUND(VLOOKUP("5",A2:S101,10,FALSE),4),0)</f>
        <v>277763.74000000954</v>
      </c>
      <c r="K100" s="9">
        <f>IF(ISNUMBER(VLOOKUP("1",A2:S101,11,FALSE)),ROUND(VLOOKUP("1",A2:S101,11,FALSE),4),0) - (IF(ISNUMBER(VLOOKUP("2.1",A2:S101,11,FALSE)),ROUND(VLOOKUP("2.1",A2:S101,11,FALSE),4),0) + IF(ISNUMBER(VLOOKUP("10.1.2",A2:S101,11,FALSE)),ROUND(VLOOKUP("10.1.2",A2:S101,11,FALSE),4),0)) + IF(ISNUMBER(VLOOKUP("4",A2:S101,11,FALSE)),ROUND(VLOOKUP("4",A2:S101,11,FALSE),4),0) - IF(ISNUMBER(VLOOKUP("5",A2:S101,11,FALSE)),ROUND(VLOOKUP("5",A2:S101,11,FALSE),4),0)</f>
        <v>3112881.4300000072</v>
      </c>
      <c r="L100" s="9">
        <f>IF(ISNUMBER(VLOOKUP("1",A2:S101,12,FALSE)),ROUND(VLOOKUP("1",A2:S101,12,FALSE),4),0) - (IF(ISNUMBER(VLOOKUP("2.1",A2:S101,12,FALSE)),ROUND(VLOOKUP("2.1",A2:S101,12,FALSE),4),0) + IF(ISNUMBER(VLOOKUP("10.1.2",A2:S101,12,FALSE)),ROUND(VLOOKUP("10.1.2",A2:S101,12,FALSE),4),0)) + IF(ISNUMBER(VLOOKUP("4",A2:S101,12,FALSE)),ROUND(VLOOKUP("4",A2:S101,12,FALSE),4),0) - IF(ISNUMBER(VLOOKUP("5",A2:S101,12,FALSE)),ROUND(VLOOKUP("5",A2:S101,12,FALSE),4),0)</f>
        <v>2481078.1700000018</v>
      </c>
      <c r="M100" s="9">
        <f>IF(ISNUMBER(VLOOKUP("1",A2:S101,13,FALSE)),ROUND(VLOOKUP("1",A2:S101,13,FALSE),4),0) - (IF(ISNUMBER(VLOOKUP("2.1",A2:S101,13,FALSE)),ROUND(VLOOKUP("2.1",A2:S101,13,FALSE),4),0) + IF(ISNUMBER(VLOOKUP("10.1.2",A2:S101,13,FALSE)),ROUND(VLOOKUP("10.1.2",A2:S101,13,FALSE),4),0)) + IF(ISNUMBER(VLOOKUP("4",A2:S101,13,FALSE)),ROUND(VLOOKUP("4",A2:S101,13,FALSE),4),0) - IF(ISNUMBER(VLOOKUP("5",A2:S101,13,FALSE)),ROUND(VLOOKUP("5",A2:S101,13,FALSE),4),0)</f>
        <v>4263510</v>
      </c>
      <c r="N100" s="9">
        <f>IF(ISNUMBER(VLOOKUP("1",A2:S101,14,FALSE)),ROUND(VLOOKUP("1",A2:S101,14,FALSE),4),0) - (IF(ISNUMBER(VLOOKUP("2.1",A2:S101,14,FALSE)),ROUND(VLOOKUP("2.1",A2:S101,14,FALSE),4),0) + IF(ISNUMBER(VLOOKUP("10.1.2",A2:S101,14,FALSE)),ROUND(VLOOKUP("10.1.2",A2:S101,14,FALSE),4),0)) + IF(ISNUMBER(VLOOKUP("4",A2:S101,14,FALSE)),ROUND(VLOOKUP("4",A2:S101,14,FALSE),4),0) - IF(ISNUMBER(VLOOKUP("5",A2:S101,14,FALSE)),ROUND(VLOOKUP("5",A2:S101,14,FALSE),4),0)</f>
        <v>3654004</v>
      </c>
      <c r="O100" s="9">
        <f>IF(ISNUMBER(VLOOKUP("1",A2:S101,15,FALSE)),ROUND(VLOOKUP("1",A2:S101,15,FALSE),4),0) - (IF(ISNUMBER(VLOOKUP("2.1",A2:S101,15,FALSE)),ROUND(VLOOKUP("2.1",A2:S101,15,FALSE),4),0) + IF(ISNUMBER(VLOOKUP("10.1.2",A2:S101,15,FALSE)),ROUND(VLOOKUP("10.1.2",A2:S101,15,FALSE),4),0)) + IF(ISNUMBER(VLOOKUP("4",A2:S101,15,FALSE)),ROUND(VLOOKUP("4",A2:S101,15,FALSE),4),0) - IF(ISNUMBER(VLOOKUP("5",A2:S101,15,FALSE)),ROUND(VLOOKUP("5",A2:S101,15,FALSE),4),0)</f>
        <v>3761555</v>
      </c>
      <c r="P100" s="9">
        <f>IF(ISNUMBER(VLOOKUP("1",A2:S101,16,FALSE)),ROUND(VLOOKUP("1",A2:S101,16,FALSE),4),0) - (IF(ISNUMBER(VLOOKUP("2.1",A2:S101,16,FALSE)),ROUND(VLOOKUP("2.1",A2:S101,16,FALSE),4),0) + IF(ISNUMBER(VLOOKUP("10.1.2",A2:S101,16,FALSE)),ROUND(VLOOKUP("10.1.2",A2:S101,16,FALSE),4),0)) + IF(ISNUMBER(VLOOKUP("4",A2:S101,16,FALSE)),ROUND(VLOOKUP("4",A2:S101,16,FALSE),4),0) - IF(ISNUMBER(VLOOKUP("5",A2:S101,16,FALSE)),ROUND(VLOOKUP("5",A2:S101,16,FALSE),4),0)</f>
        <v>4074170</v>
      </c>
      <c r="Q100" s="9">
        <f>IF(ISNUMBER(VLOOKUP("1",A2:S101,17,FALSE)),ROUND(VLOOKUP("1",A2:S101,17,FALSE),4),0) - (IF(ISNUMBER(VLOOKUP("2.1",A2:S101,17,FALSE)),ROUND(VLOOKUP("2.1",A2:S101,17,FALSE),4),0) + IF(ISNUMBER(VLOOKUP("10.1.2",A2:S101,17,FALSE)),ROUND(VLOOKUP("10.1.2",A2:S101,17,FALSE),4),0)) + IF(ISNUMBER(VLOOKUP("4",A2:S101,17,FALSE)),ROUND(VLOOKUP("4",A2:S101,17,FALSE),4),0) - IF(ISNUMBER(VLOOKUP("5",A2:S101,17,FALSE)),ROUND(VLOOKUP("5",A2:S101,17,FALSE),4),0)</f>
        <v>3993863</v>
      </c>
      <c r="R100" s="9">
        <f>IF(ISNUMBER(VLOOKUP("1",A2:S101,18,FALSE)),ROUND(VLOOKUP("1",A2:S101,18,FALSE),4),0) - (IF(ISNUMBER(VLOOKUP("2.1",A2:S101,18,FALSE)),ROUND(VLOOKUP("2.1",A2:S101,18,FALSE),4),0) + IF(ISNUMBER(VLOOKUP("10.1.2",A2:S101,18,FALSE)),ROUND(VLOOKUP("10.1.2",A2:S101,18,FALSE),4),0)) + IF(ISNUMBER(VLOOKUP("4",A2:S101,18,FALSE)),ROUND(VLOOKUP("4",A2:S101,18,FALSE),4),0) - IF(ISNUMBER(VLOOKUP("5",A2:S101,18,FALSE)),ROUND(VLOOKUP("5",A2:S101,18,FALSE),4),0)</f>
        <v>5484641</v>
      </c>
      <c r="S100" s="9">
        <f>IF(ISNUMBER(VLOOKUP("1",A2:S101,19,FALSE)),ROUND(VLOOKUP("1",A2:S101,19,FALSE),4),0) - (IF(ISNUMBER(VLOOKUP("2.1",A2:S101,19,FALSE)),ROUND(VLOOKUP("2.1",A2:S101,19,FALSE),4),0) + IF(ISNUMBER(VLOOKUP("10.1.2",A2:S101,19,FALSE)),ROUND(VLOOKUP("10.1.2",A2:S101,19,FALSE),4),0)) + IF(ISNUMBER(VLOOKUP("4",A2:S101,19,FALSE)),ROUND(VLOOKUP("4",A2:S101,19,FALSE),4),0) - IF(ISNUMBER(VLOOKUP("5",A2:S101,19,FALSE)),ROUND(VLOOKUP("5",A2:S101,19,FALSE),4),0)</f>
        <v>4903516</v>
      </c>
    </row>
  </sheetData>
  <mergeCells count="4">
    <mergeCell ref="C56:S56"/>
    <mergeCell ref="C59:S59"/>
    <mergeCell ref="C67:S67"/>
    <mergeCell ref="C80:S80"/>
  </mergeCells>
  <conditionalFormatting sqref="B31:S31">
    <cfRule type="beginsWith" dxfId="5" priority="1" operator="beginsWith" text="Tak">
      <formula>LEFT(B31,LEN("Tak"))="Tak"</formula>
    </cfRule>
    <cfRule type="beginsWith" dxfId="4" priority="2" operator="beginsWith" text="Nie">
      <formula>LEFT(B31,LEN("Nie"))="Nie"</formula>
    </cfRule>
  </conditionalFormatting>
  <conditionalFormatting sqref="B65:S65">
    <cfRule type="beginsWith" dxfId="3" priority="3" operator="beginsWith" text="Tak">
      <formula>LEFT(B65,LEN("Tak"))="Tak"</formula>
    </cfRule>
    <cfRule type="beginsWith" dxfId="2" priority="4" operator="beginsWith" text="Nie">
      <formula>LEFT(B65,LEN("Nie"))="Nie"</formula>
    </cfRule>
  </conditionalFormatting>
  <conditionalFormatting sqref="B66:S66">
    <cfRule type="beginsWith" dxfId="1" priority="5" operator="beginsWith" text="Tak">
      <formula>LEFT(B66,LEN("Tak"))="Tak"</formula>
    </cfRule>
    <cfRule type="beginsWith" dxfId="0" priority="6" operator="beginsWith" text="Nie">
      <formula>LEFT(B66,LEN("Nie"))="Nie"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Wieloletnia prognoza finansowa</dc:title>
  <dc:subject>WPF Asystent - Załącznik 1</dc:subject>
  <dc:creator>http://www.curulis.pl</dc:creator>
  <cp:keywords>wpf, curulis, wieloletnia prognoza finansowa, wpf asystent</cp:keywords>
  <cp:lastModifiedBy>Sztojko Beata</cp:lastModifiedBy>
  <dcterms:modified xsi:type="dcterms:W3CDTF">2020-11-10T12:08:38Z</dcterms:modified>
</cp:coreProperties>
</file>